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ennie\Downloads\CVsCLs\Foxconn\"/>
    </mc:Choice>
  </mc:AlternateContent>
  <xr:revisionPtr revIDLastSave="0" documentId="13_ncr:1_{B0359C0F-1667-47F4-BEB8-E417A7C5F0AD}" xr6:coauthVersionLast="47" xr6:coauthVersionMax="47" xr10:uidLastSave="{00000000-0000-0000-0000-000000000000}"/>
  <bookViews>
    <workbookView xWindow="-120" yWindow="-120" windowWidth="29040" windowHeight="15720" tabRatio="500" activeTab="2" xr2:uid="{00000000-000D-0000-FFFF-FFFF00000000}"/>
  </bookViews>
  <sheets>
    <sheet name="NCR_Data" sheetId="1" r:id="rId1"/>
    <sheet name="KPI_Summary" sheetId="2" r:id="rId2"/>
    <sheet name="Trend_Analysis" sheetId="3" r:id="rId3"/>
    <sheet name="CAPA_Tracker" sheetId="4" r:id="rId4"/>
    <sheet name="Pivot_Analysis" sheetId="5" r:id="rId5"/>
  </sheets>
  <definedNames>
    <definedName name="Slicer_Assigned_Dept">#N/A</definedName>
  </definedNames>
  <calcPr calcId="191029"/>
  <pivotCaches>
    <pivotCache cacheId="0" r:id="rId6"/>
  </pivotCaches>
  <fileRecoveryPr repairLoad="1"/>
  <extLs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43" i="4" l="1"/>
  <c r="F43" i="4"/>
  <c r="E43" i="4"/>
  <c r="D43" i="4"/>
  <c r="C43" i="4"/>
  <c r="B43" i="4"/>
  <c r="G42" i="4"/>
  <c r="F42" i="4"/>
  <c r="E42" i="4"/>
  <c r="D42" i="4"/>
  <c r="C42" i="4"/>
  <c r="B42" i="4"/>
  <c r="G41" i="4"/>
  <c r="F41" i="4"/>
  <c r="E41" i="4"/>
  <c r="D41" i="4"/>
  <c r="C41" i="4"/>
  <c r="B41" i="4"/>
  <c r="G40" i="4"/>
  <c r="F40" i="4"/>
  <c r="E40" i="4"/>
  <c r="D40" i="4"/>
  <c r="C40" i="4"/>
  <c r="B40" i="4"/>
  <c r="G39" i="4"/>
  <c r="F39" i="4"/>
  <c r="E39" i="4"/>
  <c r="D39" i="4"/>
  <c r="C39" i="4"/>
  <c r="B39" i="4"/>
  <c r="G38" i="4"/>
  <c r="F38" i="4"/>
  <c r="E38" i="4"/>
  <c r="D38" i="4"/>
  <c r="C38" i="4"/>
  <c r="B38" i="4"/>
  <c r="G37" i="4"/>
  <c r="F37" i="4"/>
  <c r="E37" i="4"/>
  <c r="D37" i="4"/>
  <c r="C37" i="4"/>
  <c r="B37" i="4"/>
  <c r="G36" i="4"/>
  <c r="F36" i="4"/>
  <c r="E36" i="4"/>
  <c r="D36" i="4"/>
  <c r="C36" i="4"/>
  <c r="B36" i="4"/>
  <c r="G35" i="4"/>
  <c r="F35" i="4"/>
  <c r="E35" i="4"/>
  <c r="D35" i="4"/>
  <c r="C35" i="4"/>
  <c r="B35" i="4"/>
  <c r="G34" i="4"/>
  <c r="F34" i="4"/>
  <c r="E34" i="4"/>
  <c r="D34" i="4"/>
  <c r="C34" i="4"/>
  <c r="B34" i="4"/>
  <c r="G33" i="4"/>
  <c r="F33" i="4"/>
  <c r="E33" i="4"/>
  <c r="D33" i="4"/>
  <c r="C33" i="4"/>
  <c r="B33" i="4"/>
  <c r="G9" i="3"/>
  <c r="G8" i="3"/>
  <c r="G7" i="3"/>
  <c r="G6" i="3"/>
  <c r="G5" i="3"/>
  <c r="D15" i="3"/>
  <c r="C15" i="3"/>
  <c r="B15" i="3"/>
  <c r="D14" i="3"/>
  <c r="C14" i="3"/>
  <c r="B14" i="3"/>
  <c r="D13" i="3"/>
  <c r="C13" i="3"/>
  <c r="B13" i="3"/>
  <c r="D12" i="3"/>
  <c r="C12" i="3"/>
  <c r="B12" i="3"/>
  <c r="D11" i="3"/>
  <c r="C11" i="3"/>
  <c r="B11" i="3"/>
  <c r="D10" i="3"/>
  <c r="C10" i="3"/>
  <c r="B10" i="3"/>
  <c r="D9" i="3"/>
  <c r="C9" i="3"/>
  <c r="B9" i="3"/>
  <c r="D8" i="3"/>
  <c r="C8" i="3"/>
  <c r="B8" i="3"/>
  <c r="D7" i="3"/>
  <c r="C7" i="3"/>
  <c r="B7" i="3"/>
  <c r="D6" i="3"/>
  <c r="C6" i="3"/>
  <c r="B6" i="3"/>
  <c r="D5" i="3"/>
  <c r="C5" i="3"/>
  <c r="B5" i="3"/>
  <c r="G4" i="3"/>
  <c r="D4" i="3"/>
  <c r="C4" i="3"/>
  <c r="B4" i="3"/>
  <c r="M2" i="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G19" i="2"/>
  <c r="G18" i="2"/>
  <c r="G17" i="2"/>
  <c r="G16" i="2"/>
  <c r="G15" i="2"/>
  <c r="G14" i="2"/>
  <c r="G13" i="2"/>
  <c r="A4" i="4" a="1"/>
  <c r="G31" i="4" s="1"/>
  <c r="H19" i="2"/>
  <c r="F19" i="2"/>
  <c r="E19" i="2"/>
  <c r="D19" i="2"/>
  <c r="C19" i="2"/>
  <c r="B19" i="2"/>
  <c r="H18" i="2"/>
  <c r="F18" i="2"/>
  <c r="E18" i="2"/>
  <c r="D18" i="2"/>
  <c r="C18" i="2"/>
  <c r="B18" i="2"/>
  <c r="H17" i="2"/>
  <c r="F17" i="2"/>
  <c r="E17" i="2"/>
  <c r="D17" i="2"/>
  <c r="C17" i="2"/>
  <c r="B17" i="2"/>
  <c r="H16" i="2"/>
  <c r="F16" i="2"/>
  <c r="E16" i="2"/>
  <c r="D16" i="2"/>
  <c r="C16" i="2"/>
  <c r="B16" i="2"/>
  <c r="H15" i="2"/>
  <c r="F15" i="2"/>
  <c r="E15" i="2"/>
  <c r="D15" i="2"/>
  <c r="C15" i="2"/>
  <c r="B15" i="2"/>
  <c r="H14" i="2"/>
  <c r="F14" i="2"/>
  <c r="E14" i="2"/>
  <c r="D14" i="2"/>
  <c r="C14" i="2"/>
  <c r="B14" i="2"/>
  <c r="E13" i="2"/>
  <c r="D13" i="2"/>
  <c r="H13" i="2"/>
  <c r="F13" i="2"/>
  <c r="C13" i="2"/>
  <c r="B13" i="2"/>
  <c r="J16" i="2" a="1"/>
  <c r="J16" i="2" s="1"/>
  <c r="G8" i="2"/>
  <c r="G5" i="2"/>
  <c r="E8" i="2"/>
  <c r="E5" i="2"/>
  <c r="N12" i="2" s="1"/>
  <c r="C8" i="2"/>
  <c r="C5" i="2"/>
  <c r="A8" i="2"/>
  <c r="A5" i="2"/>
  <c r="B32" i="4" l="1"/>
  <c r="D32" i="4"/>
  <c r="F32" i="4"/>
  <c r="G32" i="4"/>
  <c r="E32" i="4"/>
  <c r="C32" i="4"/>
  <c r="F31" i="4"/>
  <c r="D31" i="4"/>
  <c r="C31" i="4"/>
  <c r="B31" i="4"/>
  <c r="E31" i="4"/>
  <c r="A4" i="4"/>
  <c r="E30" i="4"/>
  <c r="E28" i="4"/>
  <c r="E26" i="4"/>
  <c r="E24" i="4"/>
  <c r="E22" i="4"/>
  <c r="E20" i="4"/>
  <c r="E18" i="4"/>
  <c r="E16" i="4"/>
  <c r="E14" i="4"/>
  <c r="E12" i="4"/>
  <c r="E10" i="4"/>
  <c r="E8" i="4"/>
  <c r="E6" i="4"/>
  <c r="B28" i="4"/>
  <c r="D30" i="4"/>
  <c r="D28" i="4"/>
  <c r="D26" i="4"/>
  <c r="D24" i="4"/>
  <c r="D22" i="4"/>
  <c r="D20" i="4"/>
  <c r="D18" i="4"/>
  <c r="D16" i="4"/>
  <c r="D14" i="4"/>
  <c r="D12" i="4"/>
  <c r="D10" i="4"/>
  <c r="D8" i="4"/>
  <c r="D6" i="4"/>
  <c r="C30" i="4"/>
  <c r="C28" i="4"/>
  <c r="C26" i="4"/>
  <c r="C24" i="4"/>
  <c r="C22" i="4"/>
  <c r="C20" i="4"/>
  <c r="C18" i="4"/>
  <c r="C16" i="4"/>
  <c r="C14" i="4"/>
  <c r="C12" i="4"/>
  <c r="C10" i="4"/>
  <c r="C8" i="4"/>
  <c r="C6" i="4"/>
  <c r="B26" i="4"/>
  <c r="B24" i="4"/>
  <c r="B22" i="4"/>
  <c r="B18" i="4"/>
  <c r="B16" i="4"/>
  <c r="B14" i="4"/>
  <c r="B12" i="4"/>
  <c r="B10" i="4"/>
  <c r="B8" i="4"/>
  <c r="B6" i="4"/>
  <c r="B20" i="4"/>
  <c r="B30" i="4"/>
  <c r="G29" i="4"/>
  <c r="G27" i="4"/>
  <c r="G25" i="4"/>
  <c r="G23" i="4"/>
  <c r="G21" i="4"/>
  <c r="G19" i="4"/>
  <c r="G17" i="4"/>
  <c r="G15" i="4"/>
  <c r="G13" i="4"/>
  <c r="G11" i="4"/>
  <c r="G9" i="4"/>
  <c r="G7" i="4"/>
  <c r="G5" i="4"/>
  <c r="F29" i="4"/>
  <c r="F27" i="4"/>
  <c r="F25" i="4"/>
  <c r="F23" i="4"/>
  <c r="F21" i="4"/>
  <c r="F19" i="4"/>
  <c r="F17" i="4"/>
  <c r="F15" i="4"/>
  <c r="F13" i="4"/>
  <c r="F11" i="4"/>
  <c r="F9" i="4"/>
  <c r="F7" i="4"/>
  <c r="F5" i="4"/>
  <c r="E27" i="4"/>
  <c r="E25" i="4"/>
  <c r="E23" i="4"/>
  <c r="E21" i="4"/>
  <c r="E19" i="4"/>
  <c r="E17" i="4"/>
  <c r="E15" i="4"/>
  <c r="E13" i="4"/>
  <c r="E11" i="4"/>
  <c r="E9" i="4"/>
  <c r="E7" i="4"/>
  <c r="E5" i="4"/>
  <c r="F6" i="4"/>
  <c r="F10" i="4"/>
  <c r="F16" i="4"/>
  <c r="F20" i="4"/>
  <c r="F24" i="4"/>
  <c r="F26" i="4"/>
  <c r="F30" i="4"/>
  <c r="G6" i="4"/>
  <c r="G8" i="4"/>
  <c r="G10" i="4"/>
  <c r="G12" i="4"/>
  <c r="G14" i="4"/>
  <c r="G16" i="4"/>
  <c r="G18" i="4"/>
  <c r="G20" i="4"/>
  <c r="G22" i="4"/>
  <c r="G24" i="4"/>
  <c r="G26" i="4"/>
  <c r="G28" i="4"/>
  <c r="G30" i="4"/>
  <c r="F8" i="4"/>
  <c r="F12" i="4"/>
  <c r="F14" i="4"/>
  <c r="F18" i="4"/>
  <c r="F22" i="4"/>
  <c r="F28" i="4"/>
  <c r="B5" i="4"/>
  <c r="B7" i="4"/>
  <c r="B9" i="4"/>
  <c r="B11" i="4"/>
  <c r="B13" i="4"/>
  <c r="B15" i="4"/>
  <c r="B17" i="4"/>
  <c r="B19" i="4"/>
  <c r="B21" i="4"/>
  <c r="B23" i="4"/>
  <c r="B25" i="4"/>
  <c r="B27" i="4"/>
  <c r="B29" i="4"/>
  <c r="C7" i="4"/>
  <c r="C17" i="4"/>
  <c r="C5" i="4"/>
  <c r="C9" i="4"/>
  <c r="C11" i="4"/>
  <c r="C13" i="4"/>
  <c r="C15" i="4"/>
  <c r="C19" i="4"/>
  <c r="C21" i="4"/>
  <c r="C23" i="4"/>
  <c r="C25" i="4"/>
  <c r="C27" i="4"/>
  <c r="C29" i="4"/>
  <c r="D5" i="4"/>
  <c r="D7" i="4"/>
  <c r="D9" i="4"/>
  <c r="D11" i="4"/>
  <c r="D13" i="4"/>
  <c r="D15" i="4"/>
  <c r="D17" i="4"/>
  <c r="D19" i="4"/>
  <c r="D21" i="4"/>
  <c r="D23" i="4"/>
  <c r="D25" i="4"/>
  <c r="D27" i="4"/>
  <c r="D29" i="4"/>
  <c r="E29" i="4"/>
  <c r="K16" i="2" a="1"/>
  <c r="K16" i="2" s="1"/>
  <c r="G4" i="4" l="1"/>
  <c r="F4" i="4"/>
  <c r="E4" i="4"/>
  <c r="D4" i="4"/>
  <c r="C4" i="4"/>
  <c r="B4" i="4"/>
  <c r="N13" i="2" l="1"/>
  <c r="N14" i="2"/>
  <c r="N11" i="2"/>
  <c r="E20" i="2" l="1"/>
  <c r="K13" i="2" s="1"/>
  <c r="F20" i="2"/>
  <c r="C20" i="2"/>
  <c r="K11" i="2" s="1"/>
  <c r="G20" i="2"/>
  <c r="B20" i="2"/>
  <c r="D20" i="2"/>
  <c r="K12" i="2" s="1"/>
  <c r="H20"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<sst xmlns="http://schemas.openxmlformats.org/spreadsheetml/2006/main" count="668" uniqueCount="178">
  <si>
    <t>NCR ID</t>
  </si>
  <si>
    <t>Date Raised</t>
  </si>
  <si>
    <t>Vessel</t>
  </si>
  <si>
    <t>System Category</t>
  </si>
  <si>
    <t>Severity</t>
  </si>
  <si>
    <t>Description</t>
  </si>
  <si>
    <t>Root Cause Category</t>
  </si>
  <si>
    <t>Assigned Dept</t>
  </si>
  <si>
    <t>Target Date</t>
  </si>
  <si>
    <t>Date Closed</t>
  </si>
  <si>
    <t>Days to Close</t>
  </si>
  <si>
    <t>Status</t>
  </si>
  <si>
    <t>NCR-2023-001</t>
  </si>
  <si>
    <t>MV Stellamare</t>
  </si>
  <si>
    <t>HVAC</t>
  </si>
  <si>
    <t>Minor</t>
  </si>
  <si>
    <t>Ventilation fan belt worn</t>
  </si>
  <si>
    <t>Equipment Failure</t>
  </si>
  <si>
    <t>Deck</t>
  </si>
  <si>
    <t>Open</t>
  </si>
  <si>
    <t>NCR-2023-002</t>
  </si>
  <si>
    <t>Cargo Equipment</t>
  </si>
  <si>
    <t>Major</t>
  </si>
  <si>
    <t>Crane wire certification expired</t>
  </si>
  <si>
    <t>Human Error</t>
  </si>
  <si>
    <t>Closed</t>
  </si>
  <si>
    <t>NCR-2023-003</t>
  </si>
  <si>
    <t>MV Trent</t>
  </si>
  <si>
    <t>Machinery</t>
  </si>
  <si>
    <t>Aux engine governor hunting</t>
  </si>
  <si>
    <t>External Contractor</t>
  </si>
  <si>
    <t>In Progress</t>
  </si>
  <si>
    <t>NCR-2023-004</t>
  </si>
  <si>
    <t>F/O separator alarm fault</t>
  </si>
  <si>
    <t>NCR-2023-005</t>
  </si>
  <si>
    <t>MV Frisian Summer</t>
  </si>
  <si>
    <t>Structural</t>
  </si>
  <si>
    <t>Accommodation ladder net torn</t>
  </si>
  <si>
    <t>Overdue</t>
  </si>
  <si>
    <t>NCR-2023-006</t>
  </si>
  <si>
    <t>Cargo pump cavitation</t>
  </si>
  <si>
    <t>External Factor</t>
  </si>
  <si>
    <t>NCR-2023-007</t>
  </si>
  <si>
    <t>Deck coating deterioration</t>
  </si>
  <si>
    <t>Maintenance Overdue</t>
  </si>
  <si>
    <t>Shore Management</t>
  </si>
  <si>
    <t>NCR-2023-008</t>
  </si>
  <si>
    <t>Navigation Equip.</t>
  </si>
  <si>
    <t>AIS transponder dropout</t>
  </si>
  <si>
    <t>Design Defect</t>
  </si>
  <si>
    <t>Engineering</t>
  </si>
  <si>
    <t>NCR-2023-009</t>
  </si>
  <si>
    <t>MV Flinterborg</t>
  </si>
  <si>
    <t>Safety Equipment</t>
  </si>
  <si>
    <t>Fire extinguisher pressure low</t>
  </si>
  <si>
    <t>NCR-2023-010</t>
  </si>
  <si>
    <t>Critical</t>
  </si>
  <si>
    <t>NCR-2023-011</t>
  </si>
  <si>
    <t>Electrical</t>
  </si>
  <si>
    <t>Navigation light outage</t>
  </si>
  <si>
    <t>Catering</t>
  </si>
  <si>
    <t>NCR-2023-012</t>
  </si>
  <si>
    <t>MV Calypso</t>
  </si>
  <si>
    <t>NCR-2023-013</t>
  </si>
  <si>
    <t>NCR-2023-014</t>
  </si>
  <si>
    <t>NCR-2023-015</t>
  </si>
  <si>
    <t>Gyrocompass deviation exceeds spec</t>
  </si>
  <si>
    <t>NCR-2023-016</t>
  </si>
  <si>
    <t>Handrail corroded at Fr.42</t>
  </si>
  <si>
    <t>NCR-2023-017</t>
  </si>
  <si>
    <t>Radar antenna bearing worn</t>
  </si>
  <si>
    <t>Procedure Gap</t>
  </si>
  <si>
    <t>NCR-2023-018</t>
  </si>
  <si>
    <t>Main engine turbocharger surge</t>
  </si>
  <si>
    <t>NCR-2023-019</t>
  </si>
  <si>
    <t>NCR-2023-020</t>
  </si>
  <si>
    <t>Immersion suit zip defective</t>
  </si>
  <si>
    <t>NCR-2023-021</t>
  </si>
  <si>
    <t>Emergency generator test failure</t>
  </si>
  <si>
    <t>NCR-2023-022</t>
  </si>
  <si>
    <t>Derrick block sheave worn</t>
  </si>
  <si>
    <t>NCR-2023-023</t>
  </si>
  <si>
    <t>NCR-2023-024</t>
  </si>
  <si>
    <t>Life jacket light battery expired</t>
  </si>
  <si>
    <t>NCR-2023-025</t>
  </si>
  <si>
    <t>Battery bank below threshold</t>
  </si>
  <si>
    <t>NCR-2023-026</t>
  </si>
  <si>
    <t>NCR-2023-027</t>
  </si>
  <si>
    <t>NCR-2023-028</t>
  </si>
  <si>
    <t>NCR-2023-029</t>
  </si>
  <si>
    <t>AC compressor failure – accommodation</t>
  </si>
  <si>
    <t>NCR-2023-030</t>
  </si>
  <si>
    <t>Hatch cover seal damaged</t>
  </si>
  <si>
    <t>NCR-2023-031</t>
  </si>
  <si>
    <t>NCR-2023-032</t>
  </si>
  <si>
    <t>NCR-2023-033</t>
  </si>
  <si>
    <t>NCR-2023-034</t>
  </si>
  <si>
    <t>NCR-2023-035</t>
  </si>
  <si>
    <t>NCR-2023-036</t>
  </si>
  <si>
    <t>NCR-2023-037</t>
  </si>
  <si>
    <t>Shore power connection fault</t>
  </si>
  <si>
    <t>NCR-2023-038</t>
  </si>
  <si>
    <t>NCR-2023-039</t>
  </si>
  <si>
    <t>NCR-2023-040</t>
  </si>
  <si>
    <t>NCR-2023-041</t>
  </si>
  <si>
    <t>NCR-2023-042</t>
  </si>
  <si>
    <t>NCR-2023-043</t>
  </si>
  <si>
    <t>NCR-2023-044</t>
  </si>
  <si>
    <t>NCR-2023-045</t>
  </si>
  <si>
    <t>NCR-2023-046</t>
  </si>
  <si>
    <t>Reefer plant temp deviation</t>
  </si>
  <si>
    <t>NCR-2023-047</t>
  </si>
  <si>
    <t>NCR-2023-048</t>
  </si>
  <si>
    <t>NCR-2023-049</t>
  </si>
  <si>
    <t>NCR-2023-050</t>
  </si>
  <si>
    <t>Bilge pump non-operational</t>
  </si>
  <si>
    <t>NCR-2023-051</t>
  </si>
  <si>
    <t>NCR-2023-052</t>
  </si>
  <si>
    <t>NCR-2023-053</t>
  </si>
  <si>
    <t>NCR-2023-054</t>
  </si>
  <si>
    <t>AHU filter blocked</t>
  </si>
  <si>
    <t>NCR-2023-055</t>
  </si>
  <si>
    <t>NCR-2023-056</t>
  </si>
  <si>
    <t>NCR-2023-057</t>
  </si>
  <si>
    <t>NCR-2023-058</t>
  </si>
  <si>
    <t>NCR-2023-059</t>
  </si>
  <si>
    <t>EPIRB registration lapsed</t>
  </si>
  <si>
    <t>NCR-2023-060</t>
  </si>
  <si>
    <t>NCR-2023-061</t>
  </si>
  <si>
    <t>NCR-2023-062</t>
  </si>
  <si>
    <t>NCR-2023-063</t>
  </si>
  <si>
    <t>NCR-2023-064</t>
  </si>
  <si>
    <t>NCR-2023-065</t>
  </si>
  <si>
    <t>ISM Non-Conformity Report — Quality KPI Summary 2023</t>
  </si>
  <si>
    <t>KEY PERFORMANCE INDICATORS</t>
  </si>
  <si>
    <t>Total NCRs Raised</t>
  </si>
  <si>
    <t>Closed NCRs</t>
  </si>
  <si>
    <t>Open NCRs</t>
  </si>
  <si>
    <t>Overdue NCRs</t>
  </si>
  <si>
    <t>Closure Rate</t>
  </si>
  <si>
    <t>Avg Days to Close</t>
  </si>
  <si>
    <t>Critical NCRs</t>
  </si>
  <si>
    <t>NCR BREAKDOWN BY SYSTEM CATEGORY</t>
  </si>
  <si>
    <t>Total NCRs</t>
  </si>
  <si>
    <t>TOTAL</t>
  </si>
  <si>
    <t>NCR Trend &amp; Root Cause Analysis — 2023</t>
  </si>
  <si>
    <t>Month</t>
  </si>
  <si>
    <t>Count</t>
  </si>
  <si>
    <t>Jan</t>
  </si>
  <si>
    <t>Feb</t>
  </si>
  <si>
    <t>Mar</t>
  </si>
  <si>
    <t>Apr</t>
  </si>
  <si>
    <t>May</t>
  </si>
  <si>
    <t>Jun</t>
  </si>
  <si>
    <t>Jul</t>
  </si>
  <si>
    <t>Aug</t>
  </si>
  <si>
    <t>Sep</t>
  </si>
  <si>
    <t>Oct</t>
  </si>
  <si>
    <t>Nov</t>
  </si>
  <si>
    <t>Dec</t>
  </si>
  <si>
    <t>CAPA Tracker — Open / In Progress / Overdue Non-Conformities</t>
  </si>
  <si>
    <t>System</t>
  </si>
  <si>
    <t>System Category List</t>
  </si>
  <si>
    <t>Severity List</t>
  </si>
  <si>
    <t>Status List</t>
  </si>
  <si>
    <t>Corrective &amp; Preventive Actions requiring follow-up. This list is LIVE — it auto-updates from NCR_Data (FILTER + XLOOKUP), sorted by most urgent Target Date first.</t>
  </si>
  <si>
    <t>NCR Pivot Analysis — Built with Native PivotTables</t>
  </si>
  <si>
    <t>Compare these PivotTables to the COUNTIFS-based breakdown on KPI_Summary — same numbers, built a completely different way.</t>
  </si>
  <si>
    <t>Pivot 1: NCR Count by System Category × Severity</t>
  </si>
  <si>
    <t>Pivot 2: NCR Count by Vessel × Status</t>
  </si>
  <si>
    <t>Row Labels</t>
  </si>
  <si>
    <t>Grand Total</t>
  </si>
  <si>
    <t>Column Labels</t>
  </si>
  <si>
    <t>Count of NCR ID</t>
  </si>
  <si>
    <t>Pivot 3: Root Cause Category — Count &amp; Avg Days to Close</t>
  </si>
  <si>
    <t>Average of Days to Close</t>
  </si>
  <si>
    <t>NCR Count</t>
  </si>
  <si>
    <t>Fleet: Royal Wagenborg B.V. (The Netherlands)  |  Period: January – December 2023  |  Vessels: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</si>
</sst>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
    <numFmt numFmtId="165" formatCode="0.0%"/>
    <numFmt numFmtId="166" formatCode="0.0"/>
  </numFmts>
  <fonts count="24" x14ac:knownFonts="1">
    <font>
      <sz val="11"/>
      <color theme="1"/>
      <name val="Calibri"/>
      <family val="2"/>
      <charset val="1"/>
    </font>
    <font>
      <b/>
      <sz val="10"/>
      <color rgb="FFFFFFFF"/>
      <name val="Arial"/>
      <family val="2"/>
    </font>
    <font>
      <sz val="10"/>
      <color rgb="FF000000"/>
      <name val="Arial"/>
      <family val="2"/>
    </font>
    <font>
      <b/>
      <sz val="10"/>
      <color rgb="FF000000"/>
      <name val="Arial"/>
      <family val="2"/>
    </font>
    <font>
      <b/>
      <sz val="10"/>
      <color rgb="FFC55A11"/>
      <name val="Arial"/>
      <family val="2"/>
    </font>
    <font>
      <b/>
      <sz val="10"/>
      <color rgb="FF375623"/>
      <name val="Arial"/>
      <family val="2"/>
    </font>
    <font>
      <b/>
      <sz val="10"/>
      <color rgb="FFC00000"/>
      <name val="Arial"/>
      <family val="2"/>
    </font>
    <font>
      <b/>
      <sz val="14"/>
      <color rgb="FFFFFFFF"/>
      <name val="Arial"/>
      <family val="2"/>
    </font>
    <font>
      <i/>
      <sz val="10"/>
      <color rgb="FF595959"/>
      <name val="Arial"/>
      <family val="2"/>
    </font>
    <font>
      <b/>
      <sz val="11"/>
      <color rgb="FFFFFFFF"/>
      <name val="Arial"/>
      <family val="2"/>
    </font>
    <font>
      <sz val="9"/>
      <color rgb="FF595959"/>
      <name val="Arial"/>
      <family val="2"/>
    </font>
    <font>
      <b/>
      <sz val="18"/>
      <color rgb="FF1F3864"/>
      <name val="Arial"/>
      <family val="2"/>
    </font>
    <font>
      <sz val="10"/>
      <color rgb="FF375623"/>
      <name val="Arial"/>
      <family val="2"/>
    </font>
    <font>
      <b/>
      <sz val="13"/>
      <color rgb="FFFFFFFF"/>
      <name val="Arial"/>
      <family val="2"/>
    </font>
    <font>
      <i/>
      <sz val="9"/>
      <color rgb="FF595959"/>
      <name val="Arial"/>
      <family val="2"/>
    </font>
    <font>
      <b/>
      <sz val="9"/>
      <color rgb="FF595959"/>
      <name val="Arial"/>
      <family val="2"/>
    </font>
    <font>
      <b/>
      <sz val="9"/>
      <color rgb="FF595959"/>
      <name val="Calibri"/>
      <family val="2"/>
      <charset val="1"/>
    </font>
    <font>
      <sz val="10"/>
      <color rgb="FF000000"/>
      <name val="Arial"/>
    </font>
    <font>
      <sz val="10"/>
      <color theme="1"/>
      <name val="Arial"/>
    </font>
    <font>
      <b/>
      <sz val="11"/>
      <color theme="1"/>
      <name val="Calibri"/>
      <family val="2"/>
      <charset val="1"/>
    </font>
    <font>
      <b/>
      <sz val="14"/>
      <color rgb="FFFFFFFF"/>
      <name val="Calibri"/>
      <family val="2"/>
      <charset val="1"/>
    </font>
    <font>
      <i/>
      <sz val="9"/>
      <color rgb="FF595959"/>
      <name val="Calibri"/>
      <family val="2"/>
      <charset val="1"/>
    </font>
    <font>
      <b/>
      <sz val="11"/>
      <color rgb="FF2E75B6"/>
      <name val="Calibri"/>
      <family val="2"/>
      <charset val="1"/>
    </font>
    <font>
      <b/>
      <sz val="10"/>
      <color rgb="FFFFFFFF"/>
      <name val="Arial"/>
    </font>
  </fonts>
  <fills count="13">
    <fill>
      <patternFill patternType="none"/>
    </fill>
    <fill>
      <patternFill patternType="gray125"/>
    </fill>
    <fill>
      <patternFill patternType="solid">
        <fgColor rgb="FF1F3864"/>
        <bgColor rgb="FF375623"/>
      </patternFill>
    </fill>
    <fill>
      <patternFill patternType="solid">
        <fgColor rgb="FFDEEAF1"/>
        <bgColor rgb="FFF2F2F2"/>
      </patternFill>
    </fill>
    <fill>
      <patternFill patternType="solid">
        <fgColor rgb="FFFFFFFF"/>
        <bgColor rgb="FFF9F9F9"/>
      </patternFill>
    </fill>
    <fill>
      <patternFill patternType="solid">
        <fgColor rgb="FF2E75B6"/>
        <bgColor rgb="FF4F81BD"/>
      </patternFill>
    </fill>
    <fill>
      <patternFill patternType="solid">
        <fgColor rgb="FFF2F2F2"/>
        <bgColor rgb="FFF9F9F9"/>
      </patternFill>
    </fill>
    <fill>
      <patternFill patternType="solid">
        <fgColor rgb="FFF2F2F2"/>
        <bgColor indexed="64"/>
      </patternFill>
    </fill>
    <fill>
      <patternFill patternType="solid">
        <fgColor rgb="FFDEEAF1"/>
        <bgColor indexed="64"/>
      </patternFill>
    </fill>
    <fill>
      <patternFill patternType="solid">
        <fgColor rgb="FFFFFFFF"/>
        <bgColor indexed="64"/>
      </patternFill>
    </fill>
    <fill>
      <patternFill patternType="solid">
        <fgColor rgb="FF1F3864"/>
        <bgColor indexed="64"/>
      </patternFill>
    </fill>
    <fill>
      <patternFill patternType="solid">
        <fgColor theme="0"/>
        <bgColor rgb="FFF2F2F2"/>
      </patternFill>
    </fill>
    <fill>
      <patternFill patternType="solid">
        <fgColor theme="0"/>
        <bgColor indexed="64"/>
      </patternFill>
    </fill>
  </fills>
  <borders count="14">
    <border>
      <left/>
      <right/>
      <top/>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style="thin">
        <color rgb="FFCCCCCC"/>
      </left>
      <right/>
      <top/>
      <bottom/>
      <diagonal/>
    </border>
    <border>
      <left style="thin">
        <color rgb="FFCCCCCC"/>
      </left>
      <right/>
      <top/>
      <bottom style="thin">
        <color rgb="FFCCCCCC"/>
      </bottom>
      <diagonal/>
    </border>
    <border>
      <left/>
      <right style="thin">
        <color rgb="FFCCCCCC"/>
      </right>
      <top style="thin">
        <color rgb="FFCCCCCC"/>
      </top>
      <bottom style="thin">
        <color rgb="FFCCCCCC"/>
      </bottom>
      <diagonal/>
    </border>
    <border>
      <left/>
      <right style="thin">
        <color rgb="FFCCCCCC"/>
      </right>
      <top/>
      <bottom style="thin">
        <color rgb="FFCCCCCC"/>
      </bottom>
      <diagonal/>
    </border>
    <border>
      <left style="thin">
        <color rgb="FFCCCCCC"/>
      </left>
      <right style="thin">
        <color rgb="FFCCCCCC"/>
      </right>
      <top/>
      <bottom style="thin">
        <color rgb="FFCCCCCC"/>
      </bottom>
      <diagonal/>
    </border>
    <border>
      <left/>
      <right style="thin">
        <color rgb="FFCCCCCC"/>
      </right>
      <top style="thin">
        <color rgb="FFCCCCCC"/>
      </top>
      <bottom/>
      <diagonal/>
    </border>
    <border>
      <left style="thin">
        <color rgb="FFCCCCCC"/>
      </left>
      <right style="thin">
        <color rgb="FFCCCCCC"/>
      </right>
      <top style="thin">
        <color rgb="FFCCCCCC"/>
      </top>
      <bottom/>
      <diagonal/>
    </border>
    <border>
      <left/>
      <right/>
      <top style="thin">
        <color rgb="FFCCCCCC"/>
      </top>
      <bottom/>
      <diagonal/>
    </border>
    <border>
      <left style="thin">
        <color rgb="FFCCCCCC"/>
      </left>
      <right style="thin">
        <color theme="0" tint="-0.14999847407452621"/>
      </right>
      <top style="thin">
        <color rgb="FFCCCCCC"/>
      </top>
      <bottom style="thin">
        <color rgb="FFCCCCCC"/>
      </bottom>
      <diagonal/>
    </border>
    <border>
      <left style="thin">
        <color rgb="FFCCCCCC"/>
      </left>
      <right style="thin">
        <color theme="0" tint="-0.14999847407452621"/>
      </right>
      <top style="thin">
        <color rgb="FFCCCCCC"/>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82">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0" fontId="2" fillId="3" borderId="1" xfId="0" applyFont="1" applyFill="1" applyBorder="1" applyAlignment="1">
      <alignment horizontal="left" vertical="center" indent="1"/>
    </xf>
    <xf numFmtId="0" fontId="3" fillId="3" borderId="1" xfId="0" applyFont="1" applyFill="1" applyBorder="1" applyAlignment="1">
      <alignment horizontal="center" vertical="center"/>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center" vertical="center"/>
    </xf>
    <xf numFmtId="0" fontId="2" fillId="4" borderId="1" xfId="0" applyFont="1" applyFill="1" applyBorder="1" applyAlignment="1">
      <alignment horizontal="left" vertical="center" inden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3" borderId="1" xfId="0" applyFont="1" applyFill="1" applyBorder="1" applyAlignment="1">
      <alignment horizontal="left" vertical="center" indent="1"/>
    </xf>
    <xf numFmtId="0" fontId="12" fillId="3" borderId="1" xfId="0" applyFont="1" applyFill="1" applyBorder="1" applyAlignment="1">
      <alignment horizontal="center" vertical="center"/>
    </xf>
    <xf numFmtId="9" fontId="2" fillId="3" borderId="1" xfId="0" applyNumberFormat="1" applyFont="1" applyFill="1" applyBorder="1" applyAlignment="1">
      <alignment horizontal="center" vertical="center"/>
    </xf>
    <xf numFmtId="0" fontId="3" fillId="4" borderId="1" xfId="0" applyFont="1" applyFill="1" applyBorder="1" applyAlignment="1">
      <alignment horizontal="left" vertical="center" indent="1"/>
    </xf>
    <xf numFmtId="9" fontId="1" fillId="2"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15" fillId="7" borderId="3" xfId="0" applyFont="1" applyFill="1" applyBorder="1" applyAlignment="1">
      <alignment horizontal="center" vertical="center"/>
    </xf>
    <xf numFmtId="0" fontId="16" fillId="7" borderId="0" xfId="0" applyFont="1" applyFill="1"/>
    <xf numFmtId="0" fontId="2" fillId="9" borderId="1" xfId="0" applyFont="1" applyFill="1" applyBorder="1" applyAlignment="1">
      <alignment horizontal="center" vertical="center"/>
    </xf>
    <xf numFmtId="0" fontId="17" fillId="8" borderId="1" xfId="0" applyFont="1" applyFill="1" applyBorder="1" applyAlignment="1">
      <alignment horizontal="center" vertical="center"/>
    </xf>
    <xf numFmtId="0" fontId="17" fillId="9" borderId="1" xfId="0" applyFont="1" applyFill="1" applyBorder="1" applyAlignment="1">
      <alignment horizontal="center" vertical="center"/>
    </xf>
    <xf numFmtId="0" fontId="18" fillId="9" borderId="1" xfId="0" applyFont="1" applyFill="1" applyBorder="1" applyAlignment="1">
      <alignment horizontal="center"/>
    </xf>
    <xf numFmtId="0" fontId="18" fillId="8" borderId="1" xfId="0" applyFont="1" applyFill="1" applyBorder="1" applyAlignment="1">
      <alignment horizontal="center"/>
    </xf>
    <xf numFmtId="0" fontId="20" fillId="10" borderId="0" xfId="0" applyFont="1" applyFill="1"/>
    <xf numFmtId="0" fontId="0" fillId="10" borderId="0" xfId="0" applyFill="1"/>
    <xf numFmtId="0" fontId="21" fillId="0" borderId="0" xfId="0" applyFont="1"/>
    <xf numFmtId="0" fontId="22" fillId="0" borderId="0" xfId="0" applyFont="1"/>
    <xf numFmtId="0" fontId="0" fillId="0" borderId="0" xfId="0" pivotButton="1"/>
    <xf numFmtId="0" fontId="0" fillId="0" borderId="0" xfId="0" applyAlignment="1">
      <alignment horizontal="left"/>
    </xf>
    <xf numFmtId="0" fontId="23" fillId="10" borderId="0" xfId="0" applyFont="1" applyFill="1" applyAlignment="1">
      <alignment horizontal="center"/>
    </xf>
    <xf numFmtId="0" fontId="18" fillId="0" borderId="0" xfId="0" applyFont="1"/>
    <xf numFmtId="0" fontId="18" fillId="0" borderId="0" xfId="0" applyFont="1" applyAlignment="1">
      <alignment horizontal="center"/>
    </xf>
    <xf numFmtId="0" fontId="2" fillId="3" borderId="5" xfId="0" applyFont="1" applyFill="1" applyBorder="1" applyAlignment="1">
      <alignment horizontal="center" vertical="center"/>
    </xf>
    <xf numFmtId="0" fontId="2" fillId="4" borderId="5" xfId="0" applyFont="1" applyFill="1" applyBorder="1" applyAlignment="1">
      <alignment horizontal="center" vertical="center"/>
    </xf>
    <xf numFmtId="0" fontId="2" fillId="3" borderId="8" xfId="0" applyFont="1" applyFill="1" applyBorder="1" applyAlignment="1">
      <alignment horizontal="center" vertical="center"/>
    </xf>
    <xf numFmtId="164" fontId="2" fillId="3" borderId="9" xfId="0" applyNumberFormat="1" applyFont="1" applyFill="1" applyBorder="1" applyAlignment="1">
      <alignment horizontal="center" vertical="center"/>
    </xf>
    <xf numFmtId="0" fontId="2" fillId="3" borderId="9" xfId="0" applyFont="1" applyFill="1" applyBorder="1" applyAlignment="1">
      <alignment horizontal="left" vertical="center" indent="1"/>
    </xf>
    <xf numFmtId="0" fontId="2" fillId="3" borderId="9" xfId="0" applyFont="1" applyFill="1" applyBorder="1" applyAlignment="1">
      <alignment horizontal="center" vertical="center"/>
    </xf>
    <xf numFmtId="0" fontId="0" fillId="0" borderId="10" xfId="0" applyBorder="1"/>
    <xf numFmtId="0" fontId="1" fillId="10" borderId="6" xfId="0" applyFont="1" applyFill="1" applyBorder="1" applyAlignment="1">
      <alignment horizontal="center" vertical="center"/>
    </xf>
    <xf numFmtId="0" fontId="1" fillId="10" borderId="7" xfId="0" applyFont="1" applyFill="1" applyBorder="1" applyAlignment="1">
      <alignment horizontal="center" vertical="center"/>
    </xf>
    <xf numFmtId="0" fontId="1" fillId="10" borderId="4" xfId="0" applyFont="1" applyFill="1" applyBorder="1" applyAlignment="1">
      <alignment horizontal="center" vertical="center"/>
    </xf>
    <xf numFmtId="0" fontId="6" fillId="9" borderId="1" xfId="0" applyFont="1" applyFill="1" applyBorder="1" applyAlignment="1">
      <alignment horizontal="center" vertical="center"/>
    </xf>
    <xf numFmtId="0" fontId="12" fillId="9" borderId="1" xfId="0" applyFont="1" applyFill="1" applyBorder="1" applyAlignment="1">
      <alignment horizontal="center" vertical="center"/>
    </xf>
    <xf numFmtId="9" fontId="2" fillId="9" borderId="1" xfId="0" applyNumberFormat="1" applyFont="1" applyFill="1" applyBorder="1" applyAlignment="1">
      <alignment horizontal="center" vertical="center"/>
    </xf>
    <xf numFmtId="0" fontId="2" fillId="9" borderId="1" xfId="0" applyFont="1" applyFill="1" applyBorder="1" applyAlignment="1">
      <alignment horizontal="left" vertical="center" indent="1"/>
    </xf>
    <xf numFmtId="164" fontId="2" fillId="9" borderId="1" xfId="0" applyNumberFormat="1" applyFont="1" applyFill="1" applyBorder="1" applyAlignment="1">
      <alignment horizontal="center" vertical="center"/>
    </xf>
    <xf numFmtId="0" fontId="4" fillId="9" borderId="1" xfId="0" applyFont="1" applyFill="1" applyBorder="1" applyAlignment="1">
      <alignment horizontal="center" vertical="center"/>
    </xf>
    <xf numFmtId="0" fontId="5" fillId="9" borderId="1" xfId="0" applyFont="1" applyFill="1" applyBorder="1" applyAlignment="1">
      <alignment horizontal="center" vertical="center"/>
    </xf>
    <xf numFmtId="0" fontId="6" fillId="11" borderId="1" xfId="0" applyFont="1" applyFill="1" applyBorder="1" applyAlignment="1">
      <alignment horizontal="center" vertical="center"/>
    </xf>
    <xf numFmtId="1" fontId="18" fillId="0" borderId="0" xfId="0" applyNumberFormat="1" applyFont="1" applyAlignment="1">
      <alignment horizontal="center"/>
    </xf>
    <xf numFmtId="0" fontId="2" fillId="11" borderId="1" xfId="0" applyFont="1" applyFill="1" applyBorder="1" applyAlignment="1">
      <alignment horizontal="center" vertical="center"/>
    </xf>
    <xf numFmtId="0" fontId="12" fillId="11" borderId="1"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4"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11" borderId="9" xfId="0" applyFont="1" applyFill="1" applyBorder="1" applyAlignment="1">
      <alignment horizontal="left" vertical="center" indent="1"/>
    </xf>
    <xf numFmtId="0" fontId="2" fillId="11" borderId="9" xfId="0" applyFont="1" applyFill="1" applyBorder="1" applyAlignment="1">
      <alignment horizontal="center" vertical="center"/>
    </xf>
    <xf numFmtId="164" fontId="2" fillId="11" borderId="9" xfId="0" applyNumberFormat="1" applyFont="1" applyFill="1" applyBorder="1" applyAlignment="1">
      <alignment horizontal="center" vertical="center"/>
    </xf>
    <xf numFmtId="0" fontId="2" fillId="11" borderId="0" xfId="0" applyFont="1" applyFill="1" applyAlignment="1">
      <alignment horizontal="left" vertical="center" indent="1"/>
    </xf>
    <xf numFmtId="0" fontId="2" fillId="11" borderId="0" xfId="0" applyFont="1" applyFill="1" applyAlignment="1">
      <alignment horizontal="center" vertical="center"/>
    </xf>
    <xf numFmtId="164" fontId="2" fillId="11" borderId="0" xfId="0" applyNumberFormat="1" applyFont="1" applyFill="1" applyAlignment="1">
      <alignment horizontal="center" vertical="center"/>
    </xf>
    <xf numFmtId="0" fontId="18" fillId="12" borderId="9" xfId="0" applyFont="1" applyFill="1" applyBorder="1" applyAlignment="1">
      <alignment horizontal="center"/>
    </xf>
    <xf numFmtId="0" fontId="2" fillId="11" borderId="10" xfId="0" applyFont="1" applyFill="1" applyBorder="1" applyAlignment="1">
      <alignment horizontal="left" vertical="center" indent="1"/>
    </xf>
    <xf numFmtId="0" fontId="2" fillId="11" borderId="10" xfId="0" applyFont="1" applyFill="1" applyBorder="1" applyAlignment="1">
      <alignment horizontal="center" vertical="center"/>
    </xf>
    <xf numFmtId="164" fontId="2" fillId="11" borderId="10" xfId="0" applyNumberFormat="1" applyFont="1" applyFill="1" applyBorder="1" applyAlignment="1">
      <alignment horizontal="center" vertical="center"/>
    </xf>
    <xf numFmtId="0" fontId="0" fillId="0" borderId="0" xfId="0" applyAlignment="1">
      <alignment horizontal="right"/>
    </xf>
    <xf numFmtId="0" fontId="19" fillId="12" borderId="0" xfId="0" applyFont="1" applyFill="1" applyAlignment="1">
      <alignment horizontal="center"/>
    </xf>
    <xf numFmtId="0" fontId="13" fillId="2" borderId="0" xfId="0" applyFont="1" applyFill="1" applyAlignment="1">
      <alignment horizontal="center" vertical="center"/>
    </xf>
    <xf numFmtId="0" fontId="14" fillId="0" borderId="0" xfId="0" applyFont="1" applyAlignment="1">
      <alignment horizontal="center" vertical="center"/>
    </xf>
    <xf numFmtId="165" fontId="11" fillId="4" borderId="2" xfId="0" applyNumberFormat="1" applyFont="1" applyFill="1" applyBorder="1" applyAlignment="1">
      <alignment horizontal="center" vertical="center"/>
    </xf>
    <xf numFmtId="166" fontId="11" fillId="4" borderId="2" xfId="0" applyNumberFormat="1" applyFont="1" applyFill="1" applyBorder="1" applyAlignment="1">
      <alignment horizontal="center" vertical="center"/>
    </xf>
    <xf numFmtId="1" fontId="11" fillId="4" borderId="2" xfId="0" applyNumberFormat="1" applyFont="1" applyFill="1" applyBorder="1" applyAlignment="1">
      <alignment horizontal="center" vertical="center"/>
    </xf>
    <xf numFmtId="0" fontId="9" fillId="5" borderId="0" xfId="0" applyFont="1" applyFill="1" applyAlignment="1">
      <alignment horizontal="left" vertical="center" indent="1"/>
    </xf>
    <xf numFmtId="0" fontId="10" fillId="6" borderId="2" xfId="0" applyFont="1" applyFill="1" applyBorder="1" applyAlignment="1">
      <alignment horizontal="center" vertical="center"/>
    </xf>
    <xf numFmtId="0" fontId="7" fillId="2" borderId="0" xfId="0" applyFont="1" applyFill="1" applyAlignment="1">
      <alignment horizontal="center" vertical="center"/>
    </xf>
    <xf numFmtId="0" fontId="8" fillId="0" borderId="0" xfId="0" applyFont="1" applyAlignment="1">
      <alignment horizontal="center" vertical="center"/>
    </xf>
  </cellXfs>
  <cellStyles count="1">
    <cellStyle name="Normal" xfId="0" builtinId="0"/>
  </cellStyles>
  <dxfs count="41">
    <dxf>
      <font>
        <b/>
        <i val="0"/>
        <color rgb="FF375623"/>
      </font>
    </dxf>
    <dxf>
      <font>
        <b/>
        <i val="0"/>
        <color rgb="FFC55A11"/>
      </font>
    </dxf>
    <dxf>
      <font>
        <b/>
        <i val="0"/>
        <color rgb="FF2E75B6"/>
      </font>
    </dxf>
    <dxf>
      <font>
        <b/>
        <i val="0"/>
        <color rgb="FFC00000"/>
      </font>
    </dxf>
    <dxf>
      <font>
        <b/>
        <i val="0"/>
        <color rgb="FF375623"/>
      </font>
    </dxf>
    <dxf>
      <font>
        <b/>
        <i val="0"/>
        <color rgb="FFC55A11"/>
      </font>
    </dxf>
    <dxf>
      <font>
        <b/>
        <i val="0"/>
        <color rgb="FFC00000"/>
      </font>
    </dxf>
    <dxf>
      <font>
        <b/>
        <i val="0"/>
        <color rgb="FF375623"/>
      </font>
    </dxf>
    <dxf>
      <font>
        <b/>
        <i val="0"/>
        <color rgb="FFC55A11"/>
      </font>
    </dxf>
    <dxf>
      <font>
        <b/>
        <i val="0"/>
        <color rgb="FF2E75B6"/>
      </font>
    </dxf>
    <dxf>
      <font>
        <b/>
        <i val="0"/>
        <color rgb="FFC00000"/>
      </font>
    </dxf>
    <dxf>
      <font>
        <b/>
        <i val="0"/>
        <color rgb="FF375623"/>
      </font>
    </dxf>
    <dxf>
      <font>
        <b/>
        <i val="0"/>
        <color rgb="FFC55A11"/>
      </font>
    </dxf>
    <dxf>
      <font>
        <b/>
        <i val="0"/>
        <color rgb="FF2E75B6"/>
      </font>
    </dxf>
    <dxf>
      <font>
        <b/>
        <i val="0"/>
        <color rgb="FFC00000"/>
      </font>
    </dxf>
    <dxf>
      <font>
        <b/>
        <i val="0"/>
        <color rgb="FF375623"/>
      </font>
    </dxf>
    <dxf>
      <font>
        <b/>
        <i val="0"/>
        <color rgb="FFC55A11"/>
      </font>
    </dxf>
    <dxf>
      <font>
        <b/>
        <i val="0"/>
        <color rgb="FFC00000"/>
      </font>
    </dxf>
    <dxf>
      <alignment horizontal="right"/>
    </dxf>
    <dxf>
      <alignment horizontal="right"/>
    </dxf>
    <dxf>
      <alignment horizontal="right"/>
    </dxf>
    <dxf>
      <alignment horizontal="right"/>
    </dxf>
    <dxf>
      <alignment horizontal="right"/>
    </dxf>
    <dxf>
      <alignment horizontal="right"/>
    </dxf>
    <dxf>
      <font>
        <b val="0"/>
        <color rgb="FF000000"/>
      </font>
      <border diagonalUp="0" diagonalDown="0">
        <left style="thin">
          <color indexed="64"/>
        </left>
        <right/>
        <top/>
        <bottom/>
        <vertical/>
        <horizontal/>
      </border>
    </dxf>
    <dxf>
      <font>
        <b val="0"/>
        <color rgb="FF000000"/>
      </font>
    </dxf>
    <dxf>
      <font>
        <b val="0"/>
        <i val="0"/>
        <strike val="0"/>
        <condense val="0"/>
        <extend val="0"/>
        <outline val="0"/>
        <shadow val="0"/>
        <u val="none"/>
        <vertAlign val="baseline"/>
        <sz val="10"/>
        <color rgb="FF000000"/>
        <name val="Arial"/>
        <family val="2"/>
        <scheme val="none"/>
      </font>
      <fill>
        <patternFill patternType="solid">
          <fgColor rgb="FFF2F2F2"/>
          <bgColor rgb="FFDEEAF1"/>
        </patternFill>
      </fill>
      <alignment horizontal="center" vertical="center" textRotation="0" wrapText="0" indent="0"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i val="0"/>
        <strike val="0"/>
        <condense val="0"/>
        <extend val="0"/>
        <outline val="0"/>
        <shadow val="0"/>
        <u val="none"/>
        <vertAlign val="baseline"/>
        <sz val="10"/>
        <color rgb="FF000000"/>
        <name val="Arial"/>
        <family val="2"/>
        <scheme val="none"/>
      </font>
      <numFmt numFmtId="164" formatCode="dd\-mmm\-yy"/>
      <fill>
        <patternFill patternType="solid">
          <fgColor rgb="FFF2F2F2"/>
          <bgColor rgb="FFDEEAF1"/>
        </patternFill>
      </fill>
      <alignment horizontal="center" vertical="center" textRotation="0" wrapText="0" indent="0"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i val="0"/>
        <strike val="0"/>
        <condense val="0"/>
        <extend val="0"/>
        <outline val="0"/>
        <shadow val="0"/>
        <u val="none"/>
        <vertAlign val="baseline"/>
        <sz val="10"/>
        <color rgb="FF000000"/>
        <name val="Arial"/>
        <family val="2"/>
        <scheme val="none"/>
      </font>
      <numFmt numFmtId="164" formatCode="dd\-mmm\-yy"/>
      <fill>
        <patternFill patternType="solid">
          <fgColor rgb="FFF2F2F2"/>
          <bgColor rgb="FFDEEAF1"/>
        </patternFill>
      </fill>
      <alignment horizontal="center" vertical="center" textRotation="0" wrapText="0" indent="0"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i val="0"/>
        <strike val="0"/>
        <condense val="0"/>
        <extend val="0"/>
        <outline val="0"/>
        <shadow val="0"/>
        <u val="none"/>
        <vertAlign val="baseline"/>
        <sz val="10"/>
        <color rgb="FF000000"/>
        <name val="Arial"/>
        <family val="2"/>
        <scheme val="none"/>
      </font>
      <fill>
        <patternFill patternType="solid">
          <fgColor rgb="FFF2F2F2"/>
          <bgColor rgb="FFDEEAF1"/>
        </patternFill>
      </fill>
      <alignment horizontal="left" vertical="center" textRotation="0" wrapText="0" indent="1"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i val="0"/>
        <strike val="0"/>
        <condense val="0"/>
        <extend val="0"/>
        <outline val="0"/>
        <shadow val="0"/>
        <u val="none"/>
        <vertAlign val="baseline"/>
        <sz val="10"/>
        <color rgb="FF000000"/>
        <name val="Arial"/>
        <family val="2"/>
        <scheme val="none"/>
      </font>
      <fill>
        <patternFill patternType="solid">
          <fgColor rgb="FFF2F2F2"/>
          <bgColor rgb="FFDEEAF1"/>
        </patternFill>
      </fill>
      <alignment horizontal="left" vertical="center" textRotation="0" wrapText="0" indent="1"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i val="0"/>
        <strike val="0"/>
        <condense val="0"/>
        <extend val="0"/>
        <outline val="0"/>
        <shadow val="0"/>
        <u val="none"/>
        <vertAlign val="baseline"/>
        <sz val="10"/>
        <color rgb="FF000000"/>
        <name val="Arial"/>
        <family val="2"/>
        <scheme val="none"/>
      </font>
      <fill>
        <patternFill patternType="solid">
          <fgColor rgb="FFF2F2F2"/>
          <bgColor rgb="FFDEEAF1"/>
        </patternFill>
      </fill>
      <alignment horizontal="left" vertical="center" textRotation="0" wrapText="0" indent="1"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color rgb="FF000000"/>
      </font>
    </dxf>
    <dxf>
      <font>
        <b val="0"/>
        <i val="0"/>
        <strike val="0"/>
        <condense val="0"/>
        <extend val="0"/>
        <outline val="0"/>
        <shadow val="0"/>
        <u val="none"/>
        <vertAlign val="baseline"/>
        <sz val="10"/>
        <color rgb="FF000000"/>
        <name val="Arial"/>
        <family val="2"/>
        <scheme val="none"/>
      </font>
      <fill>
        <patternFill patternType="solid">
          <fgColor rgb="FFF2F2F2"/>
          <bgColor rgb="FFDEEAF1"/>
        </patternFill>
      </fill>
      <alignment horizontal="left" vertical="center" textRotation="0" wrapText="0" indent="1"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i val="0"/>
        <strike val="0"/>
        <condense val="0"/>
        <extend val="0"/>
        <outline val="0"/>
        <shadow val="0"/>
        <u val="none"/>
        <vertAlign val="baseline"/>
        <sz val="10"/>
        <color rgb="FF000000"/>
        <name val="Arial"/>
        <family val="2"/>
        <scheme val="none"/>
      </font>
      <fill>
        <patternFill patternType="solid">
          <fgColor rgb="FFF2F2F2"/>
          <bgColor rgb="FFDEEAF1"/>
        </patternFill>
      </fill>
      <alignment horizontal="left" vertical="center" textRotation="0" wrapText="0" indent="1"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i val="0"/>
        <strike val="0"/>
        <condense val="0"/>
        <extend val="0"/>
        <outline val="0"/>
        <shadow val="0"/>
        <u val="none"/>
        <vertAlign val="baseline"/>
        <sz val="10"/>
        <color rgb="FF000000"/>
        <name val="Arial"/>
        <family val="2"/>
        <scheme val="none"/>
      </font>
      <numFmt numFmtId="164" formatCode="dd\-mmm\-yy"/>
      <fill>
        <patternFill patternType="solid">
          <fgColor rgb="FFF2F2F2"/>
          <bgColor rgb="FFDEEAF1"/>
        </patternFill>
      </fill>
      <alignment horizontal="center" vertical="center" textRotation="0" wrapText="0" indent="0" justifyLastLine="0" shrinkToFit="0" readingOrder="0"/>
      <border diagonalUp="0" diagonalDown="0">
        <left style="thin">
          <color rgb="FFCCCCCC"/>
        </left>
        <right style="thin">
          <color rgb="FFCCCCCC"/>
        </right>
        <top style="thin">
          <color rgb="FFCCCCCC"/>
        </top>
        <bottom style="thin">
          <color rgb="FFCCCCCC"/>
        </bottom>
        <vertical/>
        <horizontal/>
      </border>
    </dxf>
    <dxf>
      <font>
        <b val="0"/>
        <i val="0"/>
        <strike val="0"/>
        <condense val="0"/>
        <extend val="0"/>
        <outline val="0"/>
        <shadow val="0"/>
        <u val="none"/>
        <vertAlign val="baseline"/>
        <sz val="10"/>
        <color rgb="FF000000"/>
        <name val="Arial"/>
        <family val="2"/>
        <scheme val="none"/>
      </font>
      <fill>
        <patternFill patternType="solid">
          <fgColor rgb="FFF2F2F2"/>
          <bgColor rgb="FFDEEAF1"/>
        </patternFill>
      </fill>
      <alignment horizontal="center" vertical="center" textRotation="0" wrapText="0" indent="0" justifyLastLine="0" shrinkToFit="0" readingOrder="0"/>
      <border diagonalUp="0" diagonalDown="0">
        <left/>
        <right style="thin">
          <color rgb="FFCCCCCC"/>
        </right>
        <top style="thin">
          <color rgb="FFCCCCCC"/>
        </top>
        <bottom style="thin">
          <color rgb="FFCCCCCC"/>
        </bottom>
        <vertical/>
        <horizontal/>
      </border>
    </dxf>
    <dxf>
      <border outline="0">
        <top style="thin">
          <color rgb="FFCCCCCC"/>
        </top>
      </border>
    </dxf>
    <dxf>
      <border outline="0">
        <left style="thin">
          <color rgb="FFCCCCCC"/>
        </left>
        <right style="thin">
          <color rgb="FFCCCCCC"/>
        </right>
        <top style="thin">
          <color rgb="FFCCCCCC"/>
        </top>
        <bottom style="thin">
          <color rgb="FFCCCCCC"/>
        </bottom>
      </border>
    </dxf>
    <dxf>
      <border outline="0">
        <bottom style="thin">
          <color rgb="FFCCCCCC"/>
        </bottom>
      </border>
    </dxf>
    <dxf>
      <font>
        <b/>
        <i val="0"/>
        <strike val="0"/>
        <condense val="0"/>
        <extend val="0"/>
        <outline val="0"/>
        <shadow val="0"/>
        <u val="none"/>
        <vertAlign val="baseline"/>
        <sz val="10"/>
        <color rgb="FFFFFFFF"/>
        <name val="Arial"/>
        <scheme val="none"/>
      </font>
      <fill>
        <patternFill patternType="solid">
          <fgColor indexed="64"/>
          <bgColor rgb="FF1F3864"/>
        </patternFill>
      </fill>
      <alignment horizontal="center" vertical="center" textRotation="0" wrapText="0" indent="0" justifyLastLine="0" shrinkToFit="0" readingOrder="0"/>
      <border diagonalUp="0" diagonalDown="0">
        <left style="thin">
          <color rgb="FFCCCCCC"/>
        </left>
        <right style="thin">
          <color rgb="FFCCCCCC"/>
        </right>
        <top/>
        <bottom/>
      </border>
    </dxf>
  </dxf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CCCCC"/>
      <rgbColor rgb="FF878787"/>
      <rgbColor rgb="FF9999FF"/>
      <rgbColor rgb="FFC0504D"/>
      <rgbColor rgb="FFF9F9F9"/>
      <rgbColor rgb="FFDEEAF1"/>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FCC99"/>
      <rgbColor rgb="FF2E75B6"/>
      <rgbColor rgb="FF4BACC6"/>
      <rgbColor rgb="FF9BBB59"/>
      <rgbColor rgb="FFFFCC00"/>
      <rgbColor rgb="FFF79646"/>
      <rgbColor rgb="FFC55A11"/>
      <rgbColor rgb="FF8064A2"/>
      <rgbColor rgb="FF969696"/>
      <rgbColor rgb="FF1F3864"/>
      <rgbColor rgb="FF4F81BD"/>
      <rgbColor rgb="FF003300"/>
      <rgbColor rgb="FF333300"/>
      <rgbColor rgb="FF993300"/>
      <rgbColor rgb="FF993366"/>
      <rgbColor rgb="FF595959"/>
      <rgbColor rgb="FF37562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NCR Status Breakdown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ID4096"/>
        </a:p>
      </c:txPr>
    </c:title>
    <c:autoTitleDeleted val="0"/>
    <c:plotArea>
      <c:layout/>
      <c:doughnutChart>
        <c:varyColors val="1"/>
        <c:ser>
          <c:idx val="0"/>
          <c:order val="0"/>
          <c:tx>
            <c:strRef>
              <c:f>KPI_Summary!$N$10</c:f>
              <c:strCache>
                <c:ptCount val="1"/>
                <c:pt idx="0">
                  <c:v>Count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021-48F4-AFCA-753621E9BED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021-48F4-AFCA-753621E9BED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021-48F4-AFCA-753621E9BED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021-48F4-AFCA-753621E9BED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ID4096"/>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KPI_Summary!$M$11:$M$14</c:f>
              <c:strCache>
                <c:ptCount val="4"/>
                <c:pt idx="0">
                  <c:v>Closed</c:v>
                </c:pt>
                <c:pt idx="1">
                  <c:v>Open</c:v>
                </c:pt>
                <c:pt idx="2">
                  <c:v>In Progress</c:v>
                </c:pt>
                <c:pt idx="3">
                  <c:v>Overdue</c:v>
                </c:pt>
              </c:strCache>
            </c:strRef>
          </c:cat>
          <c:val>
            <c:numRef>
              <c:f>KPI_Summary!$N$11:$N$14</c:f>
              <c:numCache>
                <c:formatCode>0</c:formatCode>
                <c:ptCount val="4"/>
                <c:pt idx="0" formatCode="General">
                  <c:v>37</c:v>
                </c:pt>
                <c:pt idx="1">
                  <c:v>14</c:v>
                </c:pt>
                <c:pt idx="2" formatCode="General">
                  <c:v>10</c:v>
                </c:pt>
                <c:pt idx="3" formatCode="General">
                  <c:v>4</c:v>
                </c:pt>
              </c:numCache>
            </c:numRef>
          </c:val>
          <c:extLst>
            <c:ext xmlns:c16="http://schemas.microsoft.com/office/drawing/2014/chart" uri="{C3380CC4-5D6E-409C-BE32-E72D297353CC}">
              <c16:uniqueId val="{00000000-3FF5-4F44-AE17-DE86380A02A8}"/>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ID4096"/>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ID4096"/>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NCR Severity Mix</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ID4096"/>
        </a:p>
      </c:txPr>
    </c:title>
    <c:autoTitleDeleted val="0"/>
    <c:plotArea>
      <c:layout/>
      <c:pieChart>
        <c:varyColors val="1"/>
        <c:ser>
          <c:idx val="0"/>
          <c:order val="0"/>
          <c:tx>
            <c:strRef>
              <c:f>KPI_Summary!$K$10</c:f>
              <c:strCache>
                <c:ptCount val="1"/>
                <c:pt idx="0">
                  <c:v>Count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CF7-4375-BBC4-DE62771B91C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CF7-4375-BBC4-DE62771B91C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CF7-4375-BBC4-DE62771B91C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ID4096"/>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KPI_Summary!$J$11:$J$13</c:f>
              <c:strCache>
                <c:ptCount val="3"/>
                <c:pt idx="0">
                  <c:v>Critical</c:v>
                </c:pt>
                <c:pt idx="1">
                  <c:v>Major</c:v>
                </c:pt>
                <c:pt idx="2">
                  <c:v>Minor</c:v>
                </c:pt>
              </c:strCache>
            </c:strRef>
          </c:cat>
          <c:val>
            <c:numRef>
              <c:f>KPI_Summary!$K$11:$K$13</c:f>
              <c:numCache>
                <c:formatCode>General</c:formatCode>
                <c:ptCount val="3"/>
                <c:pt idx="0">
                  <c:v>7</c:v>
                </c:pt>
                <c:pt idx="1">
                  <c:v>35</c:v>
                </c:pt>
                <c:pt idx="2">
                  <c:v>23</c:v>
                </c:pt>
              </c:numCache>
            </c:numRef>
          </c:val>
          <c:extLst>
            <c:ext xmlns:c16="http://schemas.microsoft.com/office/drawing/2014/chart" uri="{C3380CC4-5D6E-409C-BE32-E72D297353CC}">
              <c16:uniqueId val="{00000000-B346-4109-9837-355754991177}"/>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ID4096"/>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ID4096"/>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NCR Count by Assigned Department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ID4096"/>
        </a:p>
      </c:txPr>
    </c:title>
    <c:autoTitleDeleted val="0"/>
    <c:plotArea>
      <c:layout/>
      <c:barChart>
        <c:barDir val="bar"/>
        <c:grouping val="clustered"/>
        <c:varyColors val="0"/>
        <c:ser>
          <c:idx val="0"/>
          <c:order val="0"/>
          <c:tx>
            <c:strRef>
              <c:f>KPI_Summary!$K$15</c:f>
              <c:strCache>
                <c:ptCount val="1"/>
                <c:pt idx="0">
                  <c:v>NCR Count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KPI_Summary!$J$16:$J$20</c:f>
              <c:strCache>
                <c:ptCount val="5"/>
                <c:pt idx="0">
                  <c:v>Deck</c:v>
                </c:pt>
                <c:pt idx="1">
                  <c:v>External Contractor</c:v>
                </c:pt>
                <c:pt idx="2">
                  <c:v>Shore Management</c:v>
                </c:pt>
                <c:pt idx="3">
                  <c:v>Engineering</c:v>
                </c:pt>
                <c:pt idx="4">
                  <c:v>Catering</c:v>
                </c:pt>
              </c:strCache>
            </c:strRef>
          </c:cat>
          <c:val>
            <c:numRef>
              <c:f>KPI_Summary!$K$16:$K$20</c:f>
              <c:numCache>
                <c:formatCode>General</c:formatCode>
                <c:ptCount val="5"/>
                <c:pt idx="0">
                  <c:v>14</c:v>
                </c:pt>
                <c:pt idx="1">
                  <c:v>11</c:v>
                </c:pt>
                <c:pt idx="2">
                  <c:v>12</c:v>
                </c:pt>
                <c:pt idx="3">
                  <c:v>12</c:v>
                </c:pt>
                <c:pt idx="4">
                  <c:v>16</c:v>
                </c:pt>
              </c:numCache>
            </c:numRef>
          </c:val>
          <c:extLst>
            <c:ext xmlns:c16="http://schemas.microsoft.com/office/drawing/2014/chart" uri="{C3380CC4-5D6E-409C-BE32-E72D297353CC}">
              <c16:uniqueId val="{00000000-88B6-4C09-9B1B-17B5CFF1B7E5}"/>
            </c:ext>
          </c:extLst>
        </c:ser>
        <c:dLbls>
          <c:showLegendKey val="0"/>
          <c:showVal val="0"/>
          <c:showCatName val="0"/>
          <c:showSerName val="0"/>
          <c:showPercent val="0"/>
          <c:showBubbleSize val="0"/>
        </c:dLbls>
        <c:gapWidth val="182"/>
        <c:axId val="2132796863"/>
        <c:axId val="206224784"/>
      </c:barChart>
      <c:catAx>
        <c:axId val="21327968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ID4096"/>
          </a:p>
        </c:txPr>
        <c:crossAx val="206224784"/>
        <c:crosses val="autoZero"/>
        <c:auto val="1"/>
        <c:lblAlgn val="ctr"/>
        <c:lblOffset val="100"/>
        <c:noMultiLvlLbl val="0"/>
      </c:catAx>
      <c:valAx>
        <c:axId val="2062247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ID4096"/>
          </a:p>
        </c:txPr>
        <c:crossAx val="21327968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ID4096"/>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Monthly NCR Volume — 2023</a:t>
            </a:r>
          </a:p>
        </c:rich>
      </c:tx>
      <c:overlay val="0"/>
      <c:spPr>
        <a:noFill/>
        <a:ln w="0">
          <a:noFill/>
        </a:ln>
      </c:spPr>
    </c:title>
    <c:autoTitleDeleted val="0"/>
    <c:plotArea>
      <c:layout/>
      <c:barChart>
        <c:barDir val="col"/>
        <c:grouping val="clustered"/>
        <c:varyColors val="0"/>
        <c:ser>
          <c:idx val="0"/>
          <c:order val="0"/>
          <c:tx>
            <c:strRef>
              <c:f>Trend_Analysis!$B$3</c:f>
              <c:strCache>
                <c:ptCount val="1"/>
                <c:pt idx="0">
                  <c:v>Total NCRs</c:v>
                </c:pt>
              </c:strCache>
            </c:strRef>
          </c:tx>
          <c:spPr>
            <a:solidFill>
              <a:srgbClr val="4F81BD"/>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LID4096"/>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Trend_Analysis!$A$4:$A$15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Trend_Analysis!$B$4:$B$15</c:f>
              <c:numCache>
                <c:formatCode>General</c:formatCode>
                <c:ptCount val="12"/>
                <c:pt idx="0">
                  <c:v>4</c:v>
                </c:pt>
                <c:pt idx="1">
                  <c:v>4</c:v>
                </c:pt>
                <c:pt idx="2">
                  <c:v>9</c:v>
                </c:pt>
                <c:pt idx="3">
                  <c:v>4</c:v>
                </c:pt>
                <c:pt idx="4">
                  <c:v>5</c:v>
                </c:pt>
                <c:pt idx="5">
                  <c:v>9</c:v>
                </c:pt>
                <c:pt idx="6">
                  <c:v>5</c:v>
                </c:pt>
                <c:pt idx="7">
                  <c:v>3</c:v>
                </c:pt>
                <c:pt idx="8">
                  <c:v>2</c:v>
                </c:pt>
                <c:pt idx="9">
                  <c:v>11</c:v>
                </c:pt>
                <c:pt idx="10">
                  <c:v>7</c:v>
                </c:pt>
                <c:pt idx="11">
                  <c:v>2</c:v>
                </c:pt>
              </c:numCache>
            </c:numRef>
          </c:val>
          <c:extLst>
            <c:ext xmlns:c16="http://schemas.microsoft.com/office/drawing/2014/chart" uri="{C3380CC4-5D6E-409C-BE32-E72D297353CC}">
              <c16:uniqueId val="{00000000-40B3-499C-A849-23BDEF5B6BFA}"/>
            </c:ext>
          </c:extLst>
        </c:ser>
        <c:ser>
          <c:idx val="1"/>
          <c:order val="1"/>
          <c:tx>
            <c:strRef>
              <c:f>Trend_Analysis!$C$3</c:f>
              <c:strCache>
                <c:ptCount val="1"/>
                <c:pt idx="0">
                  <c:v>Critical</c:v>
                </c:pt>
              </c:strCache>
            </c:strRef>
          </c:tx>
          <c:spPr>
            <a:solidFill>
              <a:srgbClr val="C0504D"/>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LID4096"/>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Trend_Analysis!$A$4:$A$15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Trend_Analysis!$C$4:$C$15</c:f>
              <c:numCache>
                <c:formatCode>General</c:formatCode>
                <c:ptCount val="12"/>
                <c:pt idx="0">
                  <c:v>0</c:v>
                </c:pt>
                <c:pt idx="1">
                  <c:v>1</c:v>
                </c:pt>
                <c:pt idx="2">
                  <c:v>1</c:v>
                </c:pt>
                <c:pt idx="3">
                  <c:v>0</c:v>
                </c:pt>
                <c:pt idx="4">
                  <c:v>0</c:v>
                </c:pt>
                <c:pt idx="5">
                  <c:v>2</c:v>
                </c:pt>
                <c:pt idx="6">
                  <c:v>0</c:v>
                </c:pt>
                <c:pt idx="7">
                  <c:v>0</c:v>
                </c:pt>
                <c:pt idx="8">
                  <c:v>0</c:v>
                </c:pt>
                <c:pt idx="9">
                  <c:v>2</c:v>
                </c:pt>
                <c:pt idx="10">
                  <c:v>1</c:v>
                </c:pt>
                <c:pt idx="11">
                  <c:v>0</c:v>
                </c:pt>
              </c:numCache>
            </c:numRef>
          </c:val>
          <c:extLst>
            <c:ext xmlns:c16="http://schemas.microsoft.com/office/drawing/2014/chart" uri="{C3380CC4-5D6E-409C-BE32-E72D297353CC}">
              <c16:uniqueId val="{00000001-40B3-499C-A849-23BDEF5B6BFA}"/>
            </c:ext>
          </c:extLst>
        </c:ser>
        <c:ser>
          <c:idx val="2"/>
          <c:order val="2"/>
          <c:tx>
            <c:strRef>
              <c:f>Trend_Analysis!$D$3</c:f>
              <c:strCache>
                <c:ptCount val="1"/>
                <c:pt idx="0">
                  <c:v>Closed</c:v>
                </c:pt>
              </c:strCache>
            </c:strRef>
          </c:tx>
          <c:spPr>
            <a:solidFill>
              <a:srgbClr val="9BBB59"/>
            </a:solidFill>
            <a:ln w="9360">
              <a:solidFill>
                <a:srgbClr val="F9F9F9"/>
              </a:solidFill>
              <a:round/>
            </a:ln>
          </c:spPr>
          <c:invertIfNegative val="0"/>
          <c:dLbls>
            <c:spPr>
              <a:noFill/>
              <a:ln>
                <a:noFill/>
              </a:ln>
              <a:effectLst/>
            </c:spPr>
            <c:txPr>
              <a:bodyPr wrap="none"/>
              <a:lstStyle/>
              <a:p>
                <a:pPr>
                  <a:defRPr sz="1000" b="0" strike="noStrike" spc="-1">
                    <a:latin typeface="Arial"/>
                  </a:defRPr>
                </a:pPr>
                <a:endParaRPr lang="LID4096"/>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Trend_Analysis!$A$4:$A$15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Trend_Analysis!$D$4:$D$15</c:f>
              <c:numCache>
                <c:formatCode>General</c:formatCode>
                <c:ptCount val="12"/>
                <c:pt idx="0">
                  <c:v>3</c:v>
                </c:pt>
                <c:pt idx="1">
                  <c:v>1</c:v>
                </c:pt>
                <c:pt idx="2">
                  <c:v>6</c:v>
                </c:pt>
                <c:pt idx="3">
                  <c:v>2</c:v>
                </c:pt>
                <c:pt idx="4">
                  <c:v>4</c:v>
                </c:pt>
                <c:pt idx="5">
                  <c:v>3</c:v>
                </c:pt>
                <c:pt idx="6">
                  <c:v>4</c:v>
                </c:pt>
                <c:pt idx="7">
                  <c:v>2</c:v>
                </c:pt>
                <c:pt idx="8">
                  <c:v>2</c:v>
                </c:pt>
                <c:pt idx="9">
                  <c:v>5</c:v>
                </c:pt>
                <c:pt idx="10">
                  <c:v>4</c:v>
                </c:pt>
                <c:pt idx="11">
                  <c:v>1</c:v>
                </c:pt>
              </c:numCache>
            </c:numRef>
          </c:val>
          <c:extLst>
            <c:ext xmlns:c16="http://schemas.microsoft.com/office/drawing/2014/chart" uri="{C3380CC4-5D6E-409C-BE32-E72D297353CC}">
              <c16:uniqueId val="{00000002-40B3-499C-A849-23BDEF5B6BFA}"/>
            </c:ext>
          </c:extLst>
        </c:ser>
        <c:dLbls>
          <c:showLegendKey val="0"/>
          <c:showVal val="0"/>
          <c:showCatName val="0"/>
          <c:showSerName val="0"/>
          <c:showPercent val="0"/>
          <c:showBubbleSize val="0"/>
        </c:dLbls>
        <c:gapWidth val="150"/>
        <c:axId val="57921369"/>
        <c:axId val="23281774"/>
      </c:barChart>
      <c:catAx>
        <c:axId val="57921369"/>
        <c:scaling>
          <c:orientation val="minMax"/>
        </c:scaling>
        <c:delete val="0"/>
        <c:axPos val="b"/>
        <c:title>
          <c:tx>
            <c:rich>
              <a:bodyPr rot="0"/>
              <a:lstStyle/>
              <a:p>
                <a:pPr>
                  <a:defRPr sz="1000" b="1" strike="noStrike" spc="-1">
                    <a:solidFill>
                      <a:srgbClr val="000000"/>
                    </a:solidFill>
                    <a:latin typeface="Calibri"/>
                  </a:defRPr>
                </a:pPr>
                <a:r>
                  <a:rPr lang="en-US" sz="1000" b="1" strike="noStrike" spc="-1">
                    <a:solidFill>
                      <a:srgbClr val="000000"/>
                    </a:solidFill>
                    <a:latin typeface="Calibri"/>
                  </a:rPr>
                  <a:t>Month</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LID4096"/>
          </a:p>
        </c:txPr>
        <c:crossAx val="23281774"/>
        <c:crosses val="autoZero"/>
        <c:auto val="1"/>
        <c:lblAlgn val="ctr"/>
        <c:lblOffset val="100"/>
        <c:noMultiLvlLbl val="0"/>
      </c:catAx>
      <c:valAx>
        <c:axId val="23281774"/>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Number of NCRs</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LID4096"/>
          </a:p>
        </c:txPr>
        <c:crossAx val="57921369"/>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LID4096"/>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Root Cause Distribution</a:t>
            </a:r>
          </a:p>
        </c:rich>
      </c:tx>
      <c:overlay val="0"/>
      <c:spPr>
        <a:noFill/>
        <a:ln w="0">
          <a:noFill/>
        </a:ln>
      </c:spPr>
    </c:title>
    <c:autoTitleDeleted val="0"/>
    <c:plotArea>
      <c:layout/>
      <c:pieChart>
        <c:varyColors val="1"/>
        <c:ser>
          <c:idx val="0"/>
          <c:order val="0"/>
          <c:tx>
            <c:strRef>
              <c:f>Trend_Analysis!$G$3</c:f>
              <c:strCache>
                <c:ptCount val="1"/>
                <c:pt idx="0">
                  <c:v>Count</c:v>
                </c:pt>
              </c:strCache>
            </c:strRef>
          </c:tx>
          <c:spPr>
            <a:solidFill>
              <a:srgbClr val="4F81BD"/>
            </a:solidFill>
            <a:ln w="9360">
              <a:solidFill>
                <a:srgbClr val="F9F9F9"/>
              </a:solidFill>
              <a:round/>
            </a:ln>
          </c:spPr>
          <c:dPt>
            <c:idx val="0"/>
            <c:bubble3D val="0"/>
            <c:extLst>
              <c:ext xmlns:c16="http://schemas.microsoft.com/office/drawing/2014/chart" uri="{C3380CC4-5D6E-409C-BE32-E72D297353CC}">
                <c16:uniqueId val="{00000001-C695-4E71-A07E-1AAECA2E560F}"/>
              </c:ext>
            </c:extLst>
          </c:dPt>
          <c:dPt>
            <c:idx val="1"/>
            <c:bubble3D val="0"/>
            <c:spPr>
              <a:solidFill>
                <a:srgbClr val="C0504D"/>
              </a:solidFill>
              <a:ln w="9360">
                <a:solidFill>
                  <a:srgbClr val="F9F9F9"/>
                </a:solidFill>
                <a:round/>
              </a:ln>
            </c:spPr>
            <c:extLst>
              <c:ext xmlns:c16="http://schemas.microsoft.com/office/drawing/2014/chart" uri="{C3380CC4-5D6E-409C-BE32-E72D297353CC}">
                <c16:uniqueId val="{00000003-C695-4E71-A07E-1AAECA2E560F}"/>
              </c:ext>
            </c:extLst>
          </c:dPt>
          <c:dPt>
            <c:idx val="2"/>
            <c:bubble3D val="0"/>
            <c:spPr>
              <a:solidFill>
                <a:srgbClr val="9BBB59"/>
              </a:solidFill>
              <a:ln w="9360">
                <a:solidFill>
                  <a:srgbClr val="F9F9F9"/>
                </a:solidFill>
                <a:round/>
              </a:ln>
            </c:spPr>
            <c:extLst>
              <c:ext xmlns:c16="http://schemas.microsoft.com/office/drawing/2014/chart" uri="{C3380CC4-5D6E-409C-BE32-E72D297353CC}">
                <c16:uniqueId val="{00000005-C695-4E71-A07E-1AAECA2E560F}"/>
              </c:ext>
            </c:extLst>
          </c:dPt>
          <c:dPt>
            <c:idx val="3"/>
            <c:bubble3D val="0"/>
            <c:spPr>
              <a:solidFill>
                <a:srgbClr val="8064A2"/>
              </a:solidFill>
              <a:ln w="9360">
                <a:solidFill>
                  <a:srgbClr val="F9F9F9"/>
                </a:solidFill>
                <a:round/>
              </a:ln>
            </c:spPr>
            <c:extLst>
              <c:ext xmlns:c16="http://schemas.microsoft.com/office/drawing/2014/chart" uri="{C3380CC4-5D6E-409C-BE32-E72D297353CC}">
                <c16:uniqueId val="{00000007-C695-4E71-A07E-1AAECA2E560F}"/>
              </c:ext>
            </c:extLst>
          </c:dPt>
          <c:dPt>
            <c:idx val="4"/>
            <c:bubble3D val="0"/>
            <c:spPr>
              <a:solidFill>
                <a:srgbClr val="4BACC6"/>
              </a:solidFill>
              <a:ln w="9360">
                <a:solidFill>
                  <a:srgbClr val="F9F9F9"/>
                </a:solidFill>
                <a:round/>
              </a:ln>
            </c:spPr>
            <c:extLst>
              <c:ext xmlns:c16="http://schemas.microsoft.com/office/drawing/2014/chart" uri="{C3380CC4-5D6E-409C-BE32-E72D297353CC}">
                <c16:uniqueId val="{00000009-C695-4E71-A07E-1AAECA2E560F}"/>
              </c:ext>
            </c:extLst>
          </c:dPt>
          <c:dPt>
            <c:idx val="5"/>
            <c:bubble3D val="0"/>
            <c:spPr>
              <a:solidFill>
                <a:srgbClr val="F79646"/>
              </a:solidFill>
              <a:ln w="9360">
                <a:solidFill>
                  <a:srgbClr val="F9F9F9"/>
                </a:solidFill>
                <a:round/>
              </a:ln>
            </c:spPr>
            <c:extLst>
              <c:ext xmlns:c16="http://schemas.microsoft.com/office/drawing/2014/chart" uri="{C3380CC4-5D6E-409C-BE32-E72D297353CC}">
                <c16:uniqueId val="{0000000B-C695-4E71-A07E-1AAECA2E560F}"/>
              </c:ext>
            </c:extLst>
          </c:dPt>
          <c:dLbls>
            <c:dLbl>
              <c:idx val="0"/>
              <c:numFmt formatCode="0%" sourceLinked="0"/>
              <c:spPr/>
              <c:txPr>
                <a:bodyPr wrap="none"/>
                <a:lstStyle/>
                <a:p>
                  <a:pPr>
                    <a:defRPr sz="1000" b="0" strike="noStrike" spc="-1">
                      <a:latin typeface="Arial"/>
                    </a:defRPr>
                  </a:pPr>
                  <a:endParaRPr lang="LID4096"/>
                </a:p>
              </c:txPr>
              <c:showLegendKey val="0"/>
              <c:showVal val="0"/>
              <c:showCatName val="0"/>
              <c:showSerName val="0"/>
              <c:showPercent val="1"/>
              <c:showBubbleSize val="1"/>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C695-4E71-A07E-1AAECA2E560F}"/>
                </c:ext>
              </c:extLst>
            </c:dLbl>
            <c:dLbl>
              <c:idx val="1"/>
              <c:numFmt formatCode="0%" sourceLinked="0"/>
              <c:spPr/>
              <c:txPr>
                <a:bodyPr wrap="none"/>
                <a:lstStyle/>
                <a:p>
                  <a:pPr>
                    <a:defRPr sz="1000" b="0" strike="noStrike" spc="-1">
                      <a:latin typeface="Arial"/>
                    </a:defRPr>
                  </a:pPr>
                  <a:endParaRPr lang="LID4096"/>
                </a:p>
              </c:txPr>
              <c:showLegendKey val="0"/>
              <c:showVal val="0"/>
              <c:showCatName val="0"/>
              <c:showSerName val="0"/>
              <c:showPercent val="1"/>
              <c:showBubbleSize val="1"/>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C695-4E71-A07E-1AAECA2E560F}"/>
                </c:ext>
              </c:extLst>
            </c:dLbl>
            <c:dLbl>
              <c:idx val="2"/>
              <c:numFmt formatCode="0%" sourceLinked="0"/>
              <c:spPr/>
              <c:txPr>
                <a:bodyPr wrap="none"/>
                <a:lstStyle/>
                <a:p>
                  <a:pPr>
                    <a:defRPr sz="1000" b="0" strike="noStrike" spc="-1">
                      <a:latin typeface="Arial"/>
                    </a:defRPr>
                  </a:pPr>
                  <a:endParaRPr lang="LID4096"/>
                </a:p>
              </c:txPr>
              <c:showLegendKey val="0"/>
              <c:showVal val="0"/>
              <c:showCatName val="0"/>
              <c:showSerName val="0"/>
              <c:showPercent val="1"/>
              <c:showBubbleSize val="1"/>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C695-4E71-A07E-1AAECA2E560F}"/>
                </c:ext>
              </c:extLst>
            </c:dLbl>
            <c:dLbl>
              <c:idx val="3"/>
              <c:numFmt formatCode="0%" sourceLinked="0"/>
              <c:spPr/>
              <c:txPr>
                <a:bodyPr wrap="none"/>
                <a:lstStyle/>
                <a:p>
                  <a:pPr>
                    <a:defRPr sz="1000" b="0" strike="noStrike" spc="-1">
                      <a:latin typeface="Arial"/>
                    </a:defRPr>
                  </a:pPr>
                  <a:endParaRPr lang="LID4096"/>
                </a:p>
              </c:txPr>
              <c:showLegendKey val="0"/>
              <c:showVal val="0"/>
              <c:showCatName val="0"/>
              <c:showSerName val="0"/>
              <c:showPercent val="1"/>
              <c:showBubbleSize val="1"/>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7-C695-4E71-A07E-1AAECA2E560F}"/>
                </c:ext>
              </c:extLst>
            </c:dLbl>
            <c:dLbl>
              <c:idx val="4"/>
              <c:numFmt formatCode="0%" sourceLinked="0"/>
              <c:spPr/>
              <c:txPr>
                <a:bodyPr wrap="none"/>
                <a:lstStyle/>
                <a:p>
                  <a:pPr>
                    <a:defRPr sz="1000" b="0" strike="noStrike" spc="-1">
                      <a:latin typeface="Arial"/>
                    </a:defRPr>
                  </a:pPr>
                  <a:endParaRPr lang="LID4096"/>
                </a:p>
              </c:txPr>
              <c:showLegendKey val="0"/>
              <c:showVal val="0"/>
              <c:showCatName val="0"/>
              <c:showSerName val="0"/>
              <c:showPercent val="1"/>
              <c:showBubbleSize val="1"/>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C695-4E71-A07E-1AAECA2E560F}"/>
                </c:ext>
              </c:extLst>
            </c:dLbl>
            <c:dLbl>
              <c:idx val="5"/>
              <c:numFmt formatCode="0%" sourceLinked="0"/>
              <c:spPr/>
              <c:txPr>
                <a:bodyPr wrap="none"/>
                <a:lstStyle/>
                <a:p>
                  <a:pPr>
                    <a:defRPr sz="1000" b="0" strike="noStrike" spc="-1">
                      <a:latin typeface="Arial"/>
                    </a:defRPr>
                  </a:pPr>
                  <a:endParaRPr lang="LID4096"/>
                </a:p>
              </c:txPr>
              <c:showLegendKey val="0"/>
              <c:showVal val="0"/>
              <c:showCatName val="0"/>
              <c:showSerName val="0"/>
              <c:showPercent val="1"/>
              <c:showBubbleSize val="1"/>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B-C695-4E71-A07E-1AAECA2E560F}"/>
                </c:ext>
              </c:extLst>
            </c:dLbl>
            <c:numFmt formatCode="0%" sourceLinked="0"/>
            <c:spPr>
              <a:noFill/>
              <a:ln>
                <a:noFill/>
              </a:ln>
              <a:effectLst/>
            </c:spPr>
            <c:txPr>
              <a:bodyPr wrap="none"/>
              <a:lstStyle/>
              <a:p>
                <a:pPr>
                  <a:defRPr sz="1000" b="0" strike="noStrike" spc="-1">
                    <a:latin typeface="Arial"/>
                  </a:defRPr>
                </a:pPr>
                <a:endParaRPr lang="LID4096"/>
              </a:p>
            </c:txPr>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Trend_Analysis!$F$4:$F$9</c:f>
              <c:strCache>
                <c:ptCount val="6"/>
                <c:pt idx="0">
                  <c:v>Human Error</c:v>
                </c:pt>
                <c:pt idx="1">
                  <c:v>Equipment Failure</c:v>
                </c:pt>
                <c:pt idx="2">
                  <c:v>Procedure Gap</c:v>
                </c:pt>
                <c:pt idx="3">
                  <c:v>Maintenance Overdue</c:v>
                </c:pt>
                <c:pt idx="4">
                  <c:v>External Factor</c:v>
                </c:pt>
                <c:pt idx="5">
                  <c:v>Design Defect</c:v>
                </c:pt>
              </c:strCache>
            </c:strRef>
          </c:cat>
          <c:val>
            <c:numRef>
              <c:f>Trend_Analysis!$G$4:$G$9</c:f>
              <c:numCache>
                <c:formatCode>General</c:formatCode>
                <c:ptCount val="6"/>
                <c:pt idx="0">
                  <c:v>11</c:v>
                </c:pt>
                <c:pt idx="1">
                  <c:v>13</c:v>
                </c:pt>
                <c:pt idx="2">
                  <c:v>8</c:v>
                </c:pt>
                <c:pt idx="3">
                  <c:v>13</c:v>
                </c:pt>
                <c:pt idx="4">
                  <c:v>11</c:v>
                </c:pt>
                <c:pt idx="5">
                  <c:v>9</c:v>
                </c:pt>
              </c:numCache>
            </c:numRef>
          </c:val>
          <c:extLst>
            <c:ext xmlns:c16="http://schemas.microsoft.com/office/drawing/2014/chart" uri="{C3380CC4-5D6E-409C-BE32-E72D297353CC}">
              <c16:uniqueId val="{0000000C-C695-4E71-A07E-1AAECA2E560F}"/>
            </c:ext>
          </c:extLst>
        </c:ser>
        <c:dLbls>
          <c:showLegendKey val="0"/>
          <c:showVal val="0"/>
          <c:showCatName val="0"/>
          <c:showSerName val="0"/>
          <c:showPercent val="0"/>
          <c:showBubbleSize val="0"/>
          <c:showLeaderLines val="1"/>
        </c:dLbls>
        <c:firstSliceAng val="0"/>
      </c:pieChart>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LID4096"/>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9525</xdr:colOff>
      <xdr:row>22</xdr:row>
      <xdr:rowOff>114300</xdr:rowOff>
    </xdr:from>
    <xdr:to>
      <xdr:col>5</xdr:col>
      <xdr:colOff>9525</xdr:colOff>
      <xdr:row>38</xdr:row>
      <xdr:rowOff>114300</xdr:rowOff>
    </xdr:to>
    <xdr:graphicFrame macro="">
      <xdr:nvGraphicFramePr>
        <xdr:cNvPr id="2" name="Chart_StatusBreakdown">
          <a:extLst>
            <a:ext uri="{FF2B5EF4-FFF2-40B4-BE49-F238E27FC236}">
              <a16:creationId xmlns:a16="http://schemas.microsoft.com/office/drawing/2014/main" id="{0691CB3D-AFBF-E8EE-993C-CB68065536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180975</xdr:colOff>
      <xdr:row>22</xdr:row>
      <xdr:rowOff>114300</xdr:rowOff>
    </xdr:from>
    <xdr:to>
      <xdr:col>10</xdr:col>
      <xdr:colOff>180975</xdr:colOff>
      <xdr:row>38</xdr:row>
      <xdr:rowOff>114300</xdr:rowOff>
    </xdr:to>
    <xdr:graphicFrame macro="">
      <xdr:nvGraphicFramePr>
        <xdr:cNvPr id="3" name="Chart_SeverityMix">
          <a:extLst>
            <a:ext uri="{FF2B5EF4-FFF2-40B4-BE49-F238E27FC236}">
              <a16:creationId xmlns:a16="http://schemas.microsoft.com/office/drawing/2014/main" id="{D3DB9766-1056-9E80-891E-14C9B5126A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38100</xdr:colOff>
      <xdr:row>41</xdr:row>
      <xdr:rowOff>9525</xdr:rowOff>
    </xdr:from>
    <xdr:to>
      <xdr:col>10</xdr:col>
      <xdr:colOff>38100</xdr:colOff>
      <xdr:row>57</xdr:row>
      <xdr:rowOff>9525</xdr:rowOff>
    </xdr:to>
    <xdr:graphicFrame macro="">
      <xdr:nvGraphicFramePr>
        <xdr:cNvPr id="4" name="Chart_DeptWorkload">
          <a:extLst>
            <a:ext uri="{FF2B5EF4-FFF2-40B4-BE49-F238E27FC236}">
              <a16:creationId xmlns:a16="http://schemas.microsoft.com/office/drawing/2014/main" id="{CF1B37B4-373B-ECD6-157E-37B72A245F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6</xdr:col>
      <xdr:colOff>214200</xdr:colOff>
      <xdr:row>34</xdr:row>
      <xdr:rowOff>170640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342900</xdr:colOff>
      <xdr:row>16</xdr:row>
      <xdr:rowOff>19050</xdr:rowOff>
    </xdr:from>
    <xdr:to>
      <xdr:col>14</xdr:col>
      <xdr:colOff>397305</xdr:colOff>
      <xdr:row>34</xdr:row>
      <xdr:rowOff>189690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511175</xdr:colOff>
      <xdr:row>15</xdr:row>
      <xdr:rowOff>34925</xdr:rowOff>
    </xdr:from>
    <xdr:to>
      <xdr:col>8</xdr:col>
      <xdr:colOff>577850</xdr:colOff>
      <xdr:row>28</xdr:row>
      <xdr:rowOff>98425</xdr:rowOff>
    </xdr:to>
    <mc:AlternateContent xmlns:mc="http://schemas.openxmlformats.org/markup-compatibility/2006" xmlns:a14="http://schemas.microsoft.com/office/drawing/2010/main">
      <mc:Choice Requires="a14">
        <xdr:graphicFrame macro="">
          <xdr:nvGraphicFramePr>
            <xdr:cNvPr id="2" name="Assigned Dept">
              <a:extLst>
                <a:ext uri="{FF2B5EF4-FFF2-40B4-BE49-F238E27FC236}">
                  <a16:creationId xmlns:a16="http://schemas.microsoft.com/office/drawing/2014/main" id="{70281526-AD50-24D3-1628-E889083B71DC}"/>
                </a:ext>
              </a:extLst>
            </xdr:cNvPr>
            <xdr:cNvGraphicFramePr/>
          </xdr:nvGraphicFramePr>
          <xdr:xfrm>
            <a:off x="0" y="0"/>
            <a:ext cx="0" cy="0"/>
          </xdr:xfrm>
          <a:graphic>
            <a:graphicData uri="http://schemas.microsoft.com/office/drawing/2010/slicer">
              <sle:slicer xmlns:sle="http://schemas.microsoft.com/office/drawing/2010/slicer" name="Assigned Dept"/>
            </a:graphicData>
          </a:graphic>
        </xdr:graphicFrame>
      </mc:Choice>
      <mc:Fallback xmlns="">
        <xdr:sp macro="" textlink="">
          <xdr:nvSpPr>
            <xdr:cNvPr id="0" name=""/>
            <xdr:cNvSpPr>
              <a:spLocks noTextEdit="1"/>
            </xdr:cNvSpPr>
          </xdr:nvSpPr>
          <xdr:spPr>
            <a:xfrm>
              <a:off x="4921250" y="2940050"/>
              <a:ext cx="1905000" cy="2540000"/>
            </a:xfrm>
            <a:prstGeom prst="rect">
              <a:avLst/>
            </a:prstGeom>
            <a:solidFill>
              <a:prstClr val="white"/>
            </a:solidFill>
            <a:ln w="1">
              <a:solidFill>
                <a:prstClr val="green"/>
              </a:solidFill>
            </a:ln>
          </xdr:spPr>
          <xdr:txBody>
            <a:bodyPr vertOverflow="clip" horzOverflow="clip"/>
            <a:lstStyle/>
            <a:p>
              <a:r>
                <a:rPr lang="LID4096"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nnie" refreshedDate="46244.850967592596" createdVersion="8" refreshedVersion="8" minRefreshableVersion="3" recordCount="65" xr:uid="{683C301D-9739-401F-A122-A7835F9FE3F3}">
  <cacheSource type="worksheet">
    <worksheetSource ref="A1:L66" sheet="NCR_Data"/>
  </cacheSource>
  <cacheFields count="12">
    <cacheField name="NCR ID" numFmtId="0">
      <sharedItems count="65">
        <s v="NCR-2023-001"/>
        <s v="NCR-2023-002"/>
        <s v="NCR-2023-003"/>
        <s v="NCR-2023-004"/>
        <s v="NCR-2023-005"/>
        <s v="NCR-2023-006"/>
        <s v="NCR-2023-007"/>
        <s v="NCR-2023-008"/>
        <s v="NCR-2023-009"/>
        <s v="NCR-2023-010"/>
        <s v="NCR-2023-011"/>
        <s v="NCR-2023-012"/>
        <s v="NCR-2023-013"/>
        <s v="NCR-2023-014"/>
        <s v="NCR-2023-015"/>
        <s v="NCR-2023-016"/>
        <s v="NCR-2023-017"/>
        <s v="NCR-2023-018"/>
        <s v="NCR-2023-019"/>
        <s v="NCR-2023-020"/>
        <s v="NCR-2023-021"/>
        <s v="NCR-2023-022"/>
        <s v="NCR-2023-023"/>
        <s v="NCR-2023-024"/>
        <s v="NCR-2023-025"/>
        <s v="NCR-2023-026"/>
        <s v="NCR-2023-027"/>
        <s v="NCR-2023-028"/>
        <s v="NCR-2023-029"/>
        <s v="NCR-2023-030"/>
        <s v="NCR-2023-031"/>
        <s v="NCR-2023-032"/>
        <s v="NCR-2023-033"/>
        <s v="NCR-2023-034"/>
        <s v="NCR-2023-035"/>
        <s v="NCR-2023-036"/>
        <s v="NCR-2023-037"/>
        <s v="NCR-2023-038"/>
        <s v="NCR-2023-039"/>
        <s v="NCR-2023-040"/>
        <s v="NCR-2023-041"/>
        <s v="NCR-2023-042"/>
        <s v="NCR-2023-043"/>
        <s v="NCR-2023-044"/>
        <s v="NCR-2023-045"/>
        <s v="NCR-2023-046"/>
        <s v="NCR-2023-047"/>
        <s v="NCR-2023-048"/>
        <s v="NCR-2023-049"/>
        <s v="NCR-2023-050"/>
        <s v="NCR-2023-051"/>
        <s v="NCR-2023-052"/>
        <s v="NCR-2023-053"/>
        <s v="NCR-2023-054"/>
        <s v="NCR-2023-055"/>
        <s v="NCR-2023-056"/>
        <s v="NCR-2023-057"/>
        <s v="NCR-2023-058"/>
        <s v="NCR-2023-059"/>
        <s v="NCR-2023-060"/>
        <s v="NCR-2023-061"/>
        <s v="NCR-2023-062"/>
        <s v="NCR-2023-063"/>
        <s v="NCR-2023-064"/>
        <s v="NCR-2023-065"/>
      </sharedItems>
    </cacheField>
    <cacheField name="Date Raised" numFmtId="164">
      <sharedItems containsSemiMixedTypes="0" containsNonDate="0" containsDate="1" containsString="0" minDate="2023-01-05T00:00:00" maxDate="2023-12-15T00:00:00"/>
    </cacheField>
    <cacheField name="Vessel" numFmtId="0">
      <sharedItems count="5">
        <s v="MV Stellamare"/>
        <s v="MV Trent"/>
        <s v="MV Frisian Summer"/>
        <s v="MV Flinterborg"/>
        <s v="MV Calypso"/>
      </sharedItems>
    </cacheField>
    <cacheField name="System Category" numFmtId="0">
      <sharedItems count="7">
        <s v="HVAC"/>
        <s v="Cargo Equipment"/>
        <s v="Machinery"/>
        <s v="Structural"/>
        <s v="Navigation Equip."/>
        <s v="Safety Equipment"/>
        <s v="Electrical"/>
      </sharedItems>
    </cacheField>
    <cacheField name="Severity" numFmtId="0">
      <sharedItems count="3">
        <s v="Minor"/>
        <s v="Major"/>
        <s v="Critical"/>
      </sharedItems>
    </cacheField>
    <cacheField name="Description" numFmtId="0">
      <sharedItems/>
    </cacheField>
    <cacheField name="Root Cause Category" numFmtId="0">
      <sharedItems count="6">
        <s v="Equipment Failure"/>
        <s v="Human Error"/>
        <s v="External Factor"/>
        <s v="Maintenance Overdue"/>
        <s v="Design Defect"/>
        <s v="Procedure Gap"/>
      </sharedItems>
    </cacheField>
    <cacheField name="Assigned Dept" numFmtId="0">
      <sharedItems count="5">
        <s v="Deck"/>
        <s v="External Contractor"/>
        <s v="Shore Management"/>
        <s v="Engineering"/>
        <s v="Catering"/>
      </sharedItems>
    </cacheField>
    <cacheField name="Target Date" numFmtId="164">
      <sharedItems containsSemiMixedTypes="0" containsNonDate="0" containsDate="1" containsString="0" minDate="2023-01-19T00:00:00" maxDate="2024-01-11T00:00:00"/>
    </cacheField>
    <cacheField name="Date Closed" numFmtId="164">
      <sharedItems containsNonDate="0" containsDate="1" containsString="0" containsBlank="1" minDate="2023-01-25T00:00:00" maxDate="2023-12-31T00:00:00"/>
    </cacheField>
    <cacheField name="Days to Close" numFmtId="0">
      <sharedItems containsString="0" containsBlank="1" containsNumber="1" containsInteger="1" minValue="4" maxValue="45"/>
    </cacheField>
    <cacheField name="Status" numFmtId="0">
      <sharedItems count="4">
        <s v="Open"/>
        <s v="Closed"/>
        <s v="In Progress"/>
        <s v="Overdue"/>
      </sharedItems>
    </cacheField>
  </cacheFields>
  <extLst>
    <ext xmlns:x14="http://schemas.microsoft.com/office/spreadsheetml/2009/9/main" uri="{725AE2AE-9491-48be-B2B4-4EB974FC3084}">
      <x14:pivotCacheDefinition pivotCacheId="202165423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
  <r>
    <x v="0"/>
    <d v="2023-11-28T00:00:00"/>
    <x v="0"/>
    <x v="0"/>
    <x v="0"/>
    <s v="Ventilation fan belt worn"/>
    <x v="0"/>
    <x v="0"/>
    <d v="2023-12-05T00:00:00"/>
    <m/>
    <m/>
    <x v="0"/>
  </r>
  <r>
    <x v="1"/>
    <d v="2023-10-11T00:00:00"/>
    <x v="0"/>
    <x v="1"/>
    <x v="1"/>
    <s v="Crane wire certification expired"/>
    <x v="1"/>
    <x v="0"/>
    <d v="2023-10-25T00:00:00"/>
    <d v="2023-10-15T00:00:00"/>
    <n v="4"/>
    <x v="1"/>
  </r>
  <r>
    <x v="2"/>
    <d v="2023-10-19T00:00:00"/>
    <x v="1"/>
    <x v="2"/>
    <x v="0"/>
    <s v="Aux engine governor hunting"/>
    <x v="0"/>
    <x v="1"/>
    <d v="2023-11-18T00:00:00"/>
    <m/>
    <m/>
    <x v="2"/>
  </r>
  <r>
    <x v="3"/>
    <d v="2023-01-08T00:00:00"/>
    <x v="1"/>
    <x v="2"/>
    <x v="1"/>
    <s v="F/O separator alarm fault"/>
    <x v="0"/>
    <x v="0"/>
    <d v="2023-02-07T00:00:00"/>
    <d v="2023-02-04T00:00:00"/>
    <n v="27"/>
    <x v="1"/>
  </r>
  <r>
    <x v="4"/>
    <d v="2023-02-23T00:00:00"/>
    <x v="2"/>
    <x v="3"/>
    <x v="1"/>
    <s v="Accommodation ladder net torn"/>
    <x v="1"/>
    <x v="1"/>
    <d v="2023-03-02T00:00:00"/>
    <m/>
    <m/>
    <x v="3"/>
  </r>
  <r>
    <x v="5"/>
    <d v="2023-07-17T00:00:00"/>
    <x v="0"/>
    <x v="1"/>
    <x v="1"/>
    <s v="Cargo pump cavitation"/>
    <x v="2"/>
    <x v="0"/>
    <d v="2023-07-24T00:00:00"/>
    <d v="2023-08-03T00:00:00"/>
    <n v="17"/>
    <x v="1"/>
  </r>
  <r>
    <x v="6"/>
    <d v="2023-06-02T00:00:00"/>
    <x v="0"/>
    <x v="3"/>
    <x v="1"/>
    <s v="Deck coating deterioration"/>
    <x v="3"/>
    <x v="2"/>
    <d v="2023-08-01T00:00:00"/>
    <m/>
    <m/>
    <x v="0"/>
  </r>
  <r>
    <x v="7"/>
    <d v="2023-07-10T00:00:00"/>
    <x v="1"/>
    <x v="4"/>
    <x v="1"/>
    <s v="AIS transponder dropout"/>
    <x v="4"/>
    <x v="3"/>
    <d v="2023-07-24T00:00:00"/>
    <d v="2023-07-28T00:00:00"/>
    <n v="18"/>
    <x v="1"/>
  </r>
  <r>
    <x v="8"/>
    <d v="2023-03-29T00:00:00"/>
    <x v="3"/>
    <x v="5"/>
    <x v="1"/>
    <s v="Fire extinguisher pressure low"/>
    <x v="4"/>
    <x v="2"/>
    <d v="2023-04-05T00:00:00"/>
    <d v="2023-04-03T00:00:00"/>
    <n v="5"/>
    <x v="1"/>
  </r>
  <r>
    <x v="9"/>
    <d v="2023-06-15T00:00:00"/>
    <x v="3"/>
    <x v="4"/>
    <x v="2"/>
    <s v="AIS transponder dropout"/>
    <x v="0"/>
    <x v="1"/>
    <d v="2023-08-14T00:00:00"/>
    <m/>
    <m/>
    <x v="2"/>
  </r>
  <r>
    <x v="10"/>
    <d v="2023-11-30T00:00:00"/>
    <x v="3"/>
    <x v="6"/>
    <x v="1"/>
    <s v="Navigation light outage"/>
    <x v="4"/>
    <x v="4"/>
    <d v="2023-12-30T00:00:00"/>
    <m/>
    <m/>
    <x v="0"/>
  </r>
  <r>
    <x v="11"/>
    <d v="2023-08-12T00:00:00"/>
    <x v="4"/>
    <x v="5"/>
    <x v="1"/>
    <s v="Fire extinguisher pressure low"/>
    <x v="2"/>
    <x v="1"/>
    <d v="2023-08-19T00:00:00"/>
    <m/>
    <m/>
    <x v="2"/>
  </r>
  <r>
    <x v="12"/>
    <d v="2023-03-02T00:00:00"/>
    <x v="1"/>
    <x v="2"/>
    <x v="1"/>
    <s v="Aux engine governor hunting"/>
    <x v="2"/>
    <x v="3"/>
    <d v="2023-05-01T00:00:00"/>
    <d v="2023-04-03T00:00:00"/>
    <n v="32"/>
    <x v="1"/>
  </r>
  <r>
    <x v="13"/>
    <d v="2023-10-02T00:00:00"/>
    <x v="2"/>
    <x v="1"/>
    <x v="0"/>
    <s v="Crane wire certification expired"/>
    <x v="4"/>
    <x v="3"/>
    <d v="2023-11-01T00:00:00"/>
    <m/>
    <m/>
    <x v="2"/>
  </r>
  <r>
    <x v="14"/>
    <d v="2023-06-28T00:00:00"/>
    <x v="0"/>
    <x v="4"/>
    <x v="1"/>
    <s v="Gyrocompass deviation exceeds spec"/>
    <x v="1"/>
    <x v="2"/>
    <d v="2023-07-12T00:00:00"/>
    <d v="2023-07-07T00:00:00"/>
    <n v="9"/>
    <x v="1"/>
  </r>
  <r>
    <x v="15"/>
    <d v="2023-11-21T00:00:00"/>
    <x v="2"/>
    <x v="3"/>
    <x v="0"/>
    <s v="Handrail corroded at Fr.42"/>
    <x v="0"/>
    <x v="2"/>
    <d v="2023-12-05T00:00:00"/>
    <d v="2023-12-27T00:00:00"/>
    <n v="36"/>
    <x v="1"/>
  </r>
  <r>
    <x v="16"/>
    <d v="2023-01-05T00:00:00"/>
    <x v="4"/>
    <x v="4"/>
    <x v="1"/>
    <s v="Radar antenna bearing worn"/>
    <x v="5"/>
    <x v="2"/>
    <d v="2023-01-19T00:00:00"/>
    <d v="2023-02-13T00:00:00"/>
    <n v="39"/>
    <x v="1"/>
  </r>
  <r>
    <x v="17"/>
    <d v="2023-02-14T00:00:00"/>
    <x v="0"/>
    <x v="2"/>
    <x v="1"/>
    <s v="Main engine turbocharger surge"/>
    <x v="2"/>
    <x v="0"/>
    <d v="2023-02-28T00:00:00"/>
    <m/>
    <m/>
    <x v="0"/>
  </r>
  <r>
    <x v="18"/>
    <d v="2023-10-13T00:00:00"/>
    <x v="1"/>
    <x v="4"/>
    <x v="1"/>
    <s v="Gyrocompass deviation exceeds spec"/>
    <x v="0"/>
    <x v="4"/>
    <d v="2023-10-27T00:00:00"/>
    <m/>
    <m/>
    <x v="0"/>
  </r>
  <r>
    <x v="19"/>
    <d v="2023-07-28T00:00:00"/>
    <x v="2"/>
    <x v="5"/>
    <x v="0"/>
    <s v="Immersion suit zip defective"/>
    <x v="1"/>
    <x v="0"/>
    <d v="2023-08-11T00:00:00"/>
    <d v="2023-08-01T00:00:00"/>
    <n v="4"/>
    <x v="1"/>
  </r>
  <r>
    <x v="20"/>
    <d v="2023-11-02T00:00:00"/>
    <x v="4"/>
    <x v="6"/>
    <x v="0"/>
    <s v="Emergency generator test failure"/>
    <x v="1"/>
    <x v="3"/>
    <d v="2023-11-16T00:00:00"/>
    <d v="2023-11-07T00:00:00"/>
    <n v="5"/>
    <x v="1"/>
  </r>
  <r>
    <x v="21"/>
    <d v="2023-06-23T00:00:00"/>
    <x v="0"/>
    <x v="1"/>
    <x v="1"/>
    <s v="Derrick block sheave worn"/>
    <x v="0"/>
    <x v="4"/>
    <d v="2023-07-07T00:00:00"/>
    <m/>
    <m/>
    <x v="0"/>
  </r>
  <r>
    <x v="22"/>
    <d v="2023-10-24T00:00:00"/>
    <x v="4"/>
    <x v="5"/>
    <x v="1"/>
    <s v="Immersion suit zip defective"/>
    <x v="3"/>
    <x v="0"/>
    <d v="2023-10-31T00:00:00"/>
    <d v="2023-11-23T00:00:00"/>
    <n v="30"/>
    <x v="1"/>
  </r>
  <r>
    <x v="23"/>
    <d v="2023-07-05T00:00:00"/>
    <x v="3"/>
    <x v="5"/>
    <x v="1"/>
    <s v="Life jacket light battery expired"/>
    <x v="4"/>
    <x v="3"/>
    <d v="2023-07-12T00:00:00"/>
    <d v="2023-07-29T00:00:00"/>
    <n v="24"/>
    <x v="1"/>
  </r>
  <r>
    <x v="24"/>
    <d v="2023-03-01T00:00:00"/>
    <x v="1"/>
    <x v="6"/>
    <x v="1"/>
    <s v="Battery bank below threshold"/>
    <x v="0"/>
    <x v="1"/>
    <d v="2023-03-15T00:00:00"/>
    <d v="2023-03-19T00:00:00"/>
    <n v="18"/>
    <x v="1"/>
  </r>
  <r>
    <x v="25"/>
    <d v="2023-02-12T00:00:00"/>
    <x v="3"/>
    <x v="3"/>
    <x v="0"/>
    <s v="Deck coating deterioration"/>
    <x v="1"/>
    <x v="4"/>
    <d v="2023-02-19T00:00:00"/>
    <m/>
    <m/>
    <x v="3"/>
  </r>
  <r>
    <x v="26"/>
    <d v="2023-05-06T00:00:00"/>
    <x v="1"/>
    <x v="5"/>
    <x v="1"/>
    <s v="Fire extinguisher pressure low"/>
    <x v="3"/>
    <x v="3"/>
    <d v="2023-05-20T00:00:00"/>
    <d v="2023-06-02T00:00:00"/>
    <n v="27"/>
    <x v="1"/>
  </r>
  <r>
    <x v="27"/>
    <d v="2023-05-20T00:00:00"/>
    <x v="3"/>
    <x v="4"/>
    <x v="1"/>
    <s v="Gyrocompass deviation exceeds spec"/>
    <x v="0"/>
    <x v="0"/>
    <d v="2023-06-19T00:00:00"/>
    <d v="2023-05-26T00:00:00"/>
    <n v="6"/>
    <x v="1"/>
  </r>
  <r>
    <x v="28"/>
    <d v="2023-10-28T00:00:00"/>
    <x v="4"/>
    <x v="0"/>
    <x v="0"/>
    <s v="AC compressor failure – accommodation"/>
    <x v="1"/>
    <x v="4"/>
    <d v="2023-12-27T00:00:00"/>
    <d v="2023-12-03T00:00:00"/>
    <n v="36"/>
    <x v="1"/>
  </r>
  <r>
    <x v="29"/>
    <d v="2023-03-26T00:00:00"/>
    <x v="0"/>
    <x v="1"/>
    <x v="2"/>
    <s v="Hatch cover seal damaged"/>
    <x v="1"/>
    <x v="4"/>
    <d v="2023-04-02T00:00:00"/>
    <m/>
    <m/>
    <x v="0"/>
  </r>
  <r>
    <x v="30"/>
    <d v="2023-05-05T00:00:00"/>
    <x v="3"/>
    <x v="0"/>
    <x v="0"/>
    <s v="Ventilation fan belt worn"/>
    <x v="2"/>
    <x v="4"/>
    <d v="2023-05-12T00:00:00"/>
    <m/>
    <m/>
    <x v="0"/>
  </r>
  <r>
    <x v="31"/>
    <d v="2023-08-07T00:00:00"/>
    <x v="4"/>
    <x v="1"/>
    <x v="1"/>
    <s v="Cargo pump cavitation"/>
    <x v="0"/>
    <x v="2"/>
    <d v="2023-08-21T00:00:00"/>
    <d v="2023-08-18T00:00:00"/>
    <n v="11"/>
    <x v="1"/>
  </r>
  <r>
    <x v="32"/>
    <d v="2023-12-14T00:00:00"/>
    <x v="2"/>
    <x v="5"/>
    <x v="1"/>
    <s v="Life jacket light battery expired"/>
    <x v="1"/>
    <x v="1"/>
    <d v="2023-12-21T00:00:00"/>
    <d v="2023-12-30T00:00:00"/>
    <n v="16"/>
    <x v="1"/>
  </r>
  <r>
    <x v="33"/>
    <d v="2023-09-21T00:00:00"/>
    <x v="2"/>
    <x v="6"/>
    <x v="0"/>
    <s v="Emergency generator test failure"/>
    <x v="0"/>
    <x v="2"/>
    <d v="2023-10-21T00:00:00"/>
    <d v="2023-10-28T00:00:00"/>
    <n v="37"/>
    <x v="1"/>
  </r>
  <r>
    <x v="34"/>
    <d v="2023-06-08T00:00:00"/>
    <x v="4"/>
    <x v="3"/>
    <x v="0"/>
    <s v="Deck coating deterioration"/>
    <x v="4"/>
    <x v="4"/>
    <d v="2023-07-08T00:00:00"/>
    <m/>
    <m/>
    <x v="3"/>
  </r>
  <r>
    <x v="35"/>
    <d v="2023-02-27T00:00:00"/>
    <x v="1"/>
    <x v="4"/>
    <x v="2"/>
    <s v="Radar antenna bearing worn"/>
    <x v="4"/>
    <x v="4"/>
    <d v="2023-03-13T00:00:00"/>
    <d v="2023-04-09T00:00:00"/>
    <n v="41"/>
    <x v="1"/>
  </r>
  <r>
    <x v="36"/>
    <d v="2023-04-22T00:00:00"/>
    <x v="2"/>
    <x v="6"/>
    <x v="0"/>
    <s v="Shore power connection fault"/>
    <x v="2"/>
    <x v="1"/>
    <d v="2023-05-22T00:00:00"/>
    <m/>
    <m/>
    <x v="3"/>
  </r>
  <r>
    <x v="37"/>
    <d v="2023-01-31T00:00:00"/>
    <x v="0"/>
    <x v="2"/>
    <x v="1"/>
    <s v="F/O separator alarm fault"/>
    <x v="1"/>
    <x v="3"/>
    <d v="2023-03-02T00:00:00"/>
    <m/>
    <m/>
    <x v="2"/>
  </r>
  <r>
    <x v="38"/>
    <d v="2023-11-27T00:00:00"/>
    <x v="2"/>
    <x v="6"/>
    <x v="0"/>
    <s v="Battery bank below threshold"/>
    <x v="2"/>
    <x v="3"/>
    <d v="2023-12-04T00:00:00"/>
    <d v="2023-12-09T00:00:00"/>
    <n v="12"/>
    <x v="1"/>
  </r>
  <r>
    <x v="39"/>
    <d v="2023-10-11T00:00:00"/>
    <x v="0"/>
    <x v="3"/>
    <x v="1"/>
    <s v="Handrail corroded at Fr.42"/>
    <x v="3"/>
    <x v="0"/>
    <d v="2023-10-18T00:00:00"/>
    <d v="2023-10-16T00:00:00"/>
    <n v="5"/>
    <x v="1"/>
  </r>
  <r>
    <x v="40"/>
    <d v="2023-07-07T00:00:00"/>
    <x v="1"/>
    <x v="2"/>
    <x v="1"/>
    <s v="Main engine turbocharger surge"/>
    <x v="5"/>
    <x v="4"/>
    <d v="2023-09-05T00:00:00"/>
    <m/>
    <m/>
    <x v="3"/>
  </r>
  <r>
    <x v="41"/>
    <d v="2023-03-25T00:00:00"/>
    <x v="1"/>
    <x v="3"/>
    <x v="1"/>
    <s v="Handrail corroded at Fr.42"/>
    <x v="3"/>
    <x v="3"/>
    <d v="2023-04-08T00:00:00"/>
    <m/>
    <m/>
    <x v="0"/>
  </r>
  <r>
    <x v="42"/>
    <d v="2023-06-24T00:00:00"/>
    <x v="3"/>
    <x v="3"/>
    <x v="0"/>
    <s v="Handrail corroded at Fr.42"/>
    <x v="5"/>
    <x v="0"/>
    <d v="2023-07-01T00:00:00"/>
    <d v="2023-06-29T00:00:00"/>
    <n v="5"/>
    <x v="1"/>
  </r>
  <r>
    <x v="43"/>
    <d v="2023-09-02T00:00:00"/>
    <x v="1"/>
    <x v="6"/>
    <x v="0"/>
    <s v="Battery bank below threshold"/>
    <x v="5"/>
    <x v="2"/>
    <d v="2023-09-16T00:00:00"/>
    <d v="2023-10-17T00:00:00"/>
    <n v="45"/>
    <x v="1"/>
  </r>
  <r>
    <x v="44"/>
    <d v="2023-04-13T00:00:00"/>
    <x v="3"/>
    <x v="4"/>
    <x v="1"/>
    <s v="Radar antenna bearing worn"/>
    <x v="5"/>
    <x v="2"/>
    <d v="2023-06-12T00:00:00"/>
    <m/>
    <m/>
    <x v="0"/>
  </r>
  <r>
    <x v="45"/>
    <d v="2023-10-06T00:00:00"/>
    <x v="2"/>
    <x v="0"/>
    <x v="2"/>
    <s v="Reefer plant temp deviation"/>
    <x v="0"/>
    <x v="4"/>
    <d v="2023-11-05T00:00:00"/>
    <d v="2023-11-16T00:00:00"/>
    <n v="41"/>
    <x v="1"/>
  </r>
  <r>
    <x v="46"/>
    <d v="2023-08-15T00:00:00"/>
    <x v="2"/>
    <x v="2"/>
    <x v="0"/>
    <s v="Aux engine governor hunting"/>
    <x v="2"/>
    <x v="4"/>
    <d v="2023-08-22T00:00:00"/>
    <d v="2023-09-23T00:00:00"/>
    <n v="39"/>
    <x v="1"/>
  </r>
  <r>
    <x v="47"/>
    <d v="2023-04-12T00:00:00"/>
    <x v="2"/>
    <x v="0"/>
    <x v="0"/>
    <s v="AC compressor failure – accommodation"/>
    <x v="2"/>
    <x v="4"/>
    <d v="2023-04-26T00:00:00"/>
    <d v="2023-04-19T00:00:00"/>
    <n v="7"/>
    <x v="1"/>
  </r>
  <r>
    <x v="48"/>
    <d v="2023-12-11T00:00:00"/>
    <x v="2"/>
    <x v="1"/>
    <x v="1"/>
    <s v="Crane wire certification expired"/>
    <x v="4"/>
    <x v="2"/>
    <d v="2024-01-10T00:00:00"/>
    <m/>
    <m/>
    <x v="0"/>
  </r>
  <r>
    <x v="49"/>
    <d v="2023-06-21T00:00:00"/>
    <x v="3"/>
    <x v="2"/>
    <x v="1"/>
    <s v="Bilge pump non-operational"/>
    <x v="0"/>
    <x v="1"/>
    <d v="2023-08-20T00:00:00"/>
    <m/>
    <m/>
    <x v="0"/>
  </r>
  <r>
    <x v="50"/>
    <d v="2023-04-04T00:00:00"/>
    <x v="4"/>
    <x v="1"/>
    <x v="1"/>
    <s v="Crane wire certification expired"/>
    <x v="5"/>
    <x v="2"/>
    <d v="2023-04-18T00:00:00"/>
    <d v="2023-05-14T00:00:00"/>
    <n v="40"/>
    <x v="1"/>
  </r>
  <r>
    <x v="51"/>
    <d v="2023-11-11T00:00:00"/>
    <x v="2"/>
    <x v="5"/>
    <x v="1"/>
    <s v="Fire extinguisher pressure low"/>
    <x v="2"/>
    <x v="1"/>
    <d v="2023-11-25T00:00:00"/>
    <m/>
    <m/>
    <x v="0"/>
  </r>
  <r>
    <x v="52"/>
    <d v="2023-05-30T00:00:00"/>
    <x v="4"/>
    <x v="2"/>
    <x v="0"/>
    <s v="F/O separator alarm fault"/>
    <x v="1"/>
    <x v="0"/>
    <d v="2023-06-29T00:00:00"/>
    <d v="2023-06-14T00:00:00"/>
    <n v="15"/>
    <x v="1"/>
  </r>
  <r>
    <x v="53"/>
    <d v="2023-03-21T00:00:00"/>
    <x v="0"/>
    <x v="0"/>
    <x v="1"/>
    <s v="AHU filter blocked"/>
    <x v="2"/>
    <x v="3"/>
    <d v="2023-05-20T00:00:00"/>
    <d v="2023-05-03T00:00:00"/>
    <n v="43"/>
    <x v="1"/>
  </r>
  <r>
    <x v="54"/>
    <d v="2023-10-26T00:00:00"/>
    <x v="1"/>
    <x v="2"/>
    <x v="0"/>
    <s v="Aux engine governor hunting"/>
    <x v="3"/>
    <x v="0"/>
    <d v="2023-11-09T00:00:00"/>
    <m/>
    <m/>
    <x v="0"/>
  </r>
  <r>
    <x v="55"/>
    <d v="2023-01-07T00:00:00"/>
    <x v="0"/>
    <x v="3"/>
    <x v="1"/>
    <s v="Handrail corroded at Fr.42"/>
    <x v="4"/>
    <x v="4"/>
    <d v="2023-03-08T00:00:00"/>
    <d v="2023-01-25T00:00:00"/>
    <n v="18"/>
    <x v="1"/>
  </r>
  <r>
    <x v="56"/>
    <d v="2023-03-08T00:00:00"/>
    <x v="3"/>
    <x v="6"/>
    <x v="0"/>
    <s v="Shore power connection fault"/>
    <x v="3"/>
    <x v="4"/>
    <d v="2023-05-07T00:00:00"/>
    <m/>
    <m/>
    <x v="2"/>
  </r>
  <r>
    <x v="57"/>
    <d v="2023-10-12T00:00:00"/>
    <x v="3"/>
    <x v="6"/>
    <x v="0"/>
    <s v="Battery bank below threshold"/>
    <x v="3"/>
    <x v="2"/>
    <d v="2023-10-26T00:00:00"/>
    <m/>
    <m/>
    <x v="2"/>
  </r>
  <r>
    <x v="58"/>
    <d v="2023-05-26T00:00:00"/>
    <x v="4"/>
    <x v="5"/>
    <x v="0"/>
    <s v="EPIRB registration lapsed"/>
    <x v="3"/>
    <x v="3"/>
    <d v="2023-06-25T00:00:00"/>
    <d v="2023-06-19T00:00:00"/>
    <n v="24"/>
    <x v="1"/>
  </r>
  <r>
    <x v="59"/>
    <d v="2023-06-17T00:00:00"/>
    <x v="4"/>
    <x v="0"/>
    <x v="2"/>
    <s v="Ventilation fan belt worn"/>
    <x v="3"/>
    <x v="0"/>
    <d v="2023-07-01T00:00:00"/>
    <d v="2023-07-16T00:00:00"/>
    <n v="29"/>
    <x v="1"/>
  </r>
  <r>
    <x v="60"/>
    <d v="2023-06-23T00:00:00"/>
    <x v="4"/>
    <x v="5"/>
    <x v="1"/>
    <s v="Fire extinguisher pressure low"/>
    <x v="3"/>
    <x v="1"/>
    <d v="2023-06-30T00:00:00"/>
    <m/>
    <m/>
    <x v="2"/>
  </r>
  <r>
    <x v="61"/>
    <d v="2023-10-26T00:00:00"/>
    <x v="3"/>
    <x v="5"/>
    <x v="2"/>
    <s v="EPIRB registration lapsed"/>
    <x v="5"/>
    <x v="1"/>
    <d v="2023-12-25T00:00:00"/>
    <d v="2023-12-02T00:00:00"/>
    <n v="37"/>
    <x v="1"/>
  </r>
  <r>
    <x v="62"/>
    <d v="2023-11-09T00:00:00"/>
    <x v="1"/>
    <x v="5"/>
    <x v="1"/>
    <s v="Immersion suit zip defective"/>
    <x v="3"/>
    <x v="3"/>
    <d v="2024-01-08T00:00:00"/>
    <d v="2023-12-07T00:00:00"/>
    <n v="28"/>
    <x v="1"/>
  </r>
  <r>
    <x v="63"/>
    <d v="2023-03-30T00:00:00"/>
    <x v="3"/>
    <x v="6"/>
    <x v="0"/>
    <s v="Emergency generator test failure"/>
    <x v="3"/>
    <x v="4"/>
    <d v="2023-04-06T00:00:00"/>
    <d v="2023-04-29T00:00:00"/>
    <n v="30"/>
    <x v="1"/>
  </r>
  <r>
    <x v="64"/>
    <d v="2023-03-15T00:00:00"/>
    <x v="3"/>
    <x v="6"/>
    <x v="2"/>
    <s v="Battery bank below threshold"/>
    <x v="5"/>
    <x v="0"/>
    <d v="2023-05-14T00:00:00"/>
    <d v="2023-04-11T00:00:00"/>
    <n v="27"/>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57472A5-79C4-4B5E-91CA-59023A490A11}" name="PT_RootCause"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1:C28" firstHeaderRow="0" firstDataRow="1" firstDataCol="1"/>
  <pivotFields count="12">
    <pivotField dataField="1" showAll="0"/>
    <pivotField numFmtId="164" showAll="0"/>
    <pivotField showAll="0"/>
    <pivotField showAll="0"/>
    <pivotField showAll="0"/>
    <pivotField showAll="0"/>
    <pivotField axis="axisRow" showAll="0">
      <items count="7">
        <item x="4"/>
        <item x="0"/>
        <item x="2"/>
        <item x="1"/>
        <item x="3"/>
        <item x="5"/>
        <item t="default"/>
      </items>
    </pivotField>
    <pivotField showAll="0"/>
    <pivotField numFmtId="164" showAll="0"/>
    <pivotField showAll="0"/>
    <pivotField dataField="1" showAll="0"/>
    <pivotField showAll="0"/>
  </pivotFields>
  <rowFields count="1">
    <field x="6"/>
  </rowFields>
  <rowItems count="7">
    <i>
      <x/>
    </i>
    <i>
      <x v="1"/>
    </i>
    <i>
      <x v="2"/>
    </i>
    <i>
      <x v="3"/>
    </i>
    <i>
      <x v="4"/>
    </i>
    <i>
      <x v="5"/>
    </i>
    <i t="grand">
      <x/>
    </i>
  </rowItems>
  <colFields count="1">
    <field x="-2"/>
  </colFields>
  <colItems count="2">
    <i>
      <x/>
    </i>
    <i i="1">
      <x v="1"/>
    </i>
  </colItems>
  <dataFields count="2">
    <dataField name="Count of NCR ID" fld="0" subtotal="count" baseField="0" baseItem="0"/>
    <dataField name="Average of Days to Close" fld="10" subtotal="average"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14199C2-3280-4C48-89F7-C32951C41731}" name="PT_VesselStatus"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H5:M12" firstHeaderRow="1" firstDataRow="2" firstDataCol="1"/>
  <pivotFields count="12">
    <pivotField dataField="1" showAll="0">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t="default"/>
      </items>
    </pivotField>
    <pivotField numFmtId="164" showAll="0"/>
    <pivotField axis="axisRow" showAll="0">
      <items count="6">
        <item x="4"/>
        <item x="3"/>
        <item x="2"/>
        <item x="0"/>
        <item x="1"/>
        <item t="default"/>
      </items>
    </pivotField>
    <pivotField showAll="0"/>
    <pivotField showAll="0"/>
    <pivotField showAll="0"/>
    <pivotField showAll="0"/>
    <pivotField showAll="0"/>
    <pivotField numFmtId="164" showAll="0"/>
    <pivotField showAll="0"/>
    <pivotField showAll="0"/>
    <pivotField axis="axisCol" showAll="0">
      <items count="5">
        <item x="1"/>
        <item x="2"/>
        <item x="0"/>
        <item x="3"/>
        <item t="default"/>
      </items>
    </pivotField>
  </pivotFields>
  <rowFields count="1">
    <field x="2"/>
  </rowFields>
  <rowItems count="6">
    <i>
      <x/>
    </i>
    <i>
      <x v="1"/>
    </i>
    <i>
      <x v="2"/>
    </i>
    <i>
      <x v="3"/>
    </i>
    <i>
      <x v="4"/>
    </i>
    <i t="grand">
      <x/>
    </i>
  </rowItems>
  <colFields count="1">
    <field x="11"/>
  </colFields>
  <colItems count="5">
    <i>
      <x/>
    </i>
    <i>
      <x v="1"/>
    </i>
    <i>
      <x v="2"/>
    </i>
    <i>
      <x v="3"/>
    </i>
    <i t="grand">
      <x/>
    </i>
  </colItems>
  <dataFields count="1">
    <dataField name="Count of NCR ID" fld="0" subtotal="count" baseField="0" baseItem="0"/>
  </dataFields>
  <formats count="3">
    <format dxfId="20">
      <pivotArea dataOnly="0" labelOnly="1" fieldPosition="0">
        <references count="1">
          <reference field="11" count="3">
            <x v="1"/>
            <x v="2"/>
            <x v="3"/>
          </reference>
        </references>
      </pivotArea>
    </format>
    <format dxfId="19">
      <pivotArea dataOnly="0" labelOnly="1" grandCol="1" outline="0" fieldPosition="0"/>
    </format>
    <format dxfId="18">
      <pivotArea dataOnly="0" labelOnly="1" fieldPosition="0">
        <references count="1">
          <reference field="11"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B1D52AD-046B-4157-8167-67EF393C1381}" name="PT_SystemSeverity"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E13" firstHeaderRow="1" firstDataRow="2" firstDataCol="1"/>
  <pivotFields count="12">
    <pivotField dataField="1" showAll="0"/>
    <pivotField numFmtId="164" showAll="0"/>
    <pivotField showAll="0"/>
    <pivotField axis="axisRow" showAll="0">
      <items count="8">
        <item x="1"/>
        <item x="6"/>
        <item x="0"/>
        <item x="2"/>
        <item x="4"/>
        <item x="5"/>
        <item x="3"/>
        <item t="default"/>
      </items>
    </pivotField>
    <pivotField axis="axisCol" showAll="0">
      <items count="4">
        <item x="2"/>
        <item x="1"/>
        <item x="0"/>
        <item t="default"/>
      </items>
    </pivotField>
    <pivotField showAll="0"/>
    <pivotField showAll="0"/>
    <pivotField showAll="0">
      <items count="6">
        <item x="4"/>
        <item h="1" x="0"/>
        <item h="1" x="3"/>
        <item h="1" x="1"/>
        <item h="1" x="2"/>
        <item t="default"/>
      </items>
    </pivotField>
    <pivotField numFmtId="164" showAll="0"/>
    <pivotField showAll="0"/>
    <pivotField showAll="0"/>
    <pivotField showAll="0"/>
  </pivotFields>
  <rowFields count="1">
    <field x="3"/>
  </rowFields>
  <rowItems count="7">
    <i>
      <x/>
    </i>
    <i>
      <x v="1"/>
    </i>
    <i>
      <x v="2"/>
    </i>
    <i>
      <x v="3"/>
    </i>
    <i>
      <x v="4"/>
    </i>
    <i>
      <x v="6"/>
    </i>
    <i t="grand">
      <x/>
    </i>
  </rowItems>
  <colFields count="1">
    <field x="4"/>
  </colFields>
  <colItems count="4">
    <i>
      <x/>
    </i>
    <i>
      <x v="1"/>
    </i>
    <i>
      <x v="2"/>
    </i>
    <i t="grand">
      <x/>
    </i>
  </colItems>
  <dataFields count="1">
    <dataField name="Count of NCR ID" fld="0" subtotal="count" baseField="0" baseItem="0"/>
  </dataFields>
  <formats count="3">
    <format dxfId="23">
      <pivotArea dataOnly="0" labelOnly="1" fieldPosition="0">
        <references count="1">
          <reference field="4" count="1">
            <x v="0"/>
          </reference>
        </references>
      </pivotArea>
    </format>
    <format dxfId="22">
      <pivotArea dataOnly="0" labelOnly="1" fieldPosition="0">
        <references count="1">
          <reference field="4" count="2">
            <x v="1"/>
            <x v="2"/>
          </reference>
        </references>
      </pivotArea>
    </format>
    <format dxfId="21">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ssigned_Dept" xr10:uid="{FA9A9D6B-2B55-4313-B5A8-16A4278373BD}" sourceName="Assigned Dept">
  <pivotTables>
    <pivotTable tabId="5" name="PT_SystemSeverity"/>
  </pivotTables>
  <data>
    <tabular pivotCacheId="2021654231">
      <items count="5">
        <i x="4" s="1"/>
        <i x="0"/>
        <i x="3"/>
        <i x="1"/>
        <i x="2"/>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ssigned Dept" xr10:uid="{852048EF-4F1F-43EE-BF43-1A96007F7088}" cache="Slicer_Assigned_Dept" caption="Assigned Dept"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6C94F7-94A1-40A8-B3DF-FEF18E8FEC9D}" name="tbl_NCR_Data" displayName="tbl_NCR_Data" ref="A1:M66" totalsRowShown="0" headerRowDxfId="40" headerRowBorderDxfId="39" tableBorderDxfId="38" totalsRowBorderDxfId="37">
  <autoFilter ref="A1:M66" xr:uid="{F96C94F7-94A1-40A8-B3DF-FEF18E8FEC9D}"/>
  <tableColumns count="13">
    <tableColumn id="1" xr3:uid="{82DCFF3D-11BC-4497-99CF-E92DBF7D98F4}" name="NCR ID" dataDxfId="36"/>
    <tableColumn id="2" xr3:uid="{B128D3E9-1227-4512-B932-E6CE63813C6A}" name="Date Raised" dataDxfId="35"/>
    <tableColumn id="3" xr3:uid="{FF513914-A731-4FF3-BB4A-31D1A65C87BF}" name="Vessel" dataDxfId="34"/>
    <tableColumn id="4" xr3:uid="{AC9BD4BF-5950-4EFC-A5BE-BDC400390B98}" name="System Category" dataDxfId="33"/>
    <tableColumn id="5" xr3:uid="{6FDB837D-0E1A-45BC-9C70-DBFDDBA75B6F}" name="Severity" dataDxfId="32"/>
    <tableColumn id="6" xr3:uid="{7C5FCEA9-86C7-4D9E-BB10-9AF809C80711}" name="Description" dataDxfId="31"/>
    <tableColumn id="7" xr3:uid="{2F4C51E0-48F2-4A70-8A34-95CCE3634A9F}" name="Root Cause Category" dataDxfId="30"/>
    <tableColumn id="8" xr3:uid="{FDA03160-4CF3-43FF-8BD0-4B0F7879E9DD}" name="Assigned Dept" dataDxfId="29"/>
    <tableColumn id="9" xr3:uid="{7491E538-A80A-495B-9B40-3F356746F74D}" name="Target Date" dataDxfId="28"/>
    <tableColumn id="10" xr3:uid="{E7C32291-CD01-40BB-84E5-185A3699B042}" name="Date Closed" dataDxfId="27"/>
    <tableColumn id="11" xr3:uid="{3B0B6875-B550-4197-8D61-D862E4C75292}" name="Days to Close" dataDxfId="26"/>
    <tableColumn id="12" xr3:uid="{94AD293F-2C94-44A6-93D3-EC0683A7D19E}" name="Status" dataDxfId="25"/>
    <tableColumn id="13" xr3:uid="{E043300F-C2A4-46BA-A9F9-30E9A098EE9A}" name="Month" dataDxfId="24">
      <calculatedColumnFormula>TEXT(tbl_NCR_Data[[#This Row],[Date Raised]],"mmm")</calculatedColumnFormula>
    </tableColumn>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183CA79-291F-4AB1-B738-8AC22A557204}">
  <we:reference id="wa200009404" version="1.0.0.8" store="en-US" storeType="OMEX"/>
  <we:alternateReferences>
    <we:reference id="wa200009404" version="1.0.0.8" store="en-US" storeType="OMEX"/>
  </we:alternateReferences>
  <we:properties>
    <we:property name="claude.fileId" value="&quot;ce5bd009-7b8b-464f-bc4f-7dfd9c125ad5&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6"/>
  <sheetViews>
    <sheetView zoomScaleNormal="100" workbookViewId="0">
      <pane ySplit="1" topLeftCell="A2" activePane="bottomLeft" state="frozen"/>
      <selection pane="bottomLeft" activeCell="O29" sqref="O29"/>
    </sheetView>
  </sheetViews>
  <sheetFormatPr defaultColWidth="8.7109375" defaultRowHeight="15" x14ac:dyDescent="0.25"/>
  <cols>
    <col min="1" max="2" width="14" customWidth="1"/>
    <col min="3" max="3" width="18" customWidth="1"/>
    <col min="4" max="4" width="20" customWidth="1"/>
    <col min="5" max="5" width="10.5703125" customWidth="1"/>
    <col min="6" max="6" width="46" customWidth="1"/>
    <col min="7" max="7" width="22.140625" customWidth="1"/>
    <col min="8" max="8" width="20" customWidth="1"/>
    <col min="9" max="9" width="13.7109375" customWidth="1"/>
    <col min="10" max="10" width="14" customWidth="1"/>
    <col min="11" max="11" width="15.28515625" customWidth="1"/>
    <col min="12" max="12" width="13" customWidth="1"/>
    <col min="13" max="13" width="11.140625" customWidth="1"/>
  </cols>
  <sheetData>
    <row r="1" spans="1:19" ht="21.75" customHeight="1" x14ac:dyDescent="0.25">
      <c r="A1" s="42" t="s">
        <v>0</v>
      </c>
      <c r="B1" s="43" t="s">
        <v>1</v>
      </c>
      <c r="C1" s="43" t="s">
        <v>2</v>
      </c>
      <c r="D1" s="43" t="s">
        <v>3</v>
      </c>
      <c r="E1" s="43" t="s">
        <v>4</v>
      </c>
      <c r="F1" s="43" t="s">
        <v>5</v>
      </c>
      <c r="G1" s="43" t="s">
        <v>6</v>
      </c>
      <c r="H1" s="43" t="s">
        <v>7</v>
      </c>
      <c r="I1" s="43" t="s">
        <v>8</v>
      </c>
      <c r="J1" s="43" t="s">
        <v>9</v>
      </c>
      <c r="K1" s="43" t="s">
        <v>10</v>
      </c>
      <c r="L1" s="44" t="s">
        <v>11</v>
      </c>
      <c r="M1" s="43" t="s">
        <v>146</v>
      </c>
      <c r="O1" s="19" t="s">
        <v>162</v>
      </c>
      <c r="Q1" s="20" t="s">
        <v>163</v>
      </c>
      <c r="S1" s="20" t="s">
        <v>164</v>
      </c>
    </row>
    <row r="2" spans="1:19" x14ac:dyDescent="0.25">
      <c r="A2" s="35" t="s">
        <v>12</v>
      </c>
      <c r="B2" s="3">
        <v>45258</v>
      </c>
      <c r="C2" s="4" t="s">
        <v>13</v>
      </c>
      <c r="D2" s="4" t="s">
        <v>14</v>
      </c>
      <c r="E2" s="2" t="s">
        <v>15</v>
      </c>
      <c r="F2" s="4" t="s">
        <v>16</v>
      </c>
      <c r="G2" s="4" t="s">
        <v>17</v>
      </c>
      <c r="H2" s="4" t="s">
        <v>18</v>
      </c>
      <c r="I2" s="3">
        <v>45265</v>
      </c>
      <c r="J2" s="3"/>
      <c r="K2" s="2"/>
      <c r="L2" s="57" t="s">
        <v>19</v>
      </c>
      <c r="M2" s="56" t="str">
        <f>TEXT(tbl_NCR_Data[[#This Row],[Date Raised]],"mmm")</f>
        <v>Nov</v>
      </c>
      <c r="O2" t="s">
        <v>14</v>
      </c>
      <c r="Q2" t="s">
        <v>15</v>
      </c>
      <c r="S2" t="s">
        <v>19</v>
      </c>
    </row>
    <row r="3" spans="1:19" x14ac:dyDescent="0.25">
      <c r="A3" s="36" t="s">
        <v>20</v>
      </c>
      <c r="B3" s="7">
        <v>45210</v>
      </c>
      <c r="C3" s="8" t="s">
        <v>13</v>
      </c>
      <c r="D3" s="8" t="s">
        <v>21</v>
      </c>
      <c r="E3" s="6" t="s">
        <v>22</v>
      </c>
      <c r="F3" s="8" t="s">
        <v>23</v>
      </c>
      <c r="G3" s="8" t="s">
        <v>24</v>
      </c>
      <c r="H3" s="8" t="s">
        <v>18</v>
      </c>
      <c r="I3" s="7">
        <v>45224</v>
      </c>
      <c r="J3" s="7">
        <v>45214</v>
      </c>
      <c r="K3" s="6">
        <v>4</v>
      </c>
      <c r="L3" s="58" t="s">
        <v>31</v>
      </c>
      <c r="M3" s="60" t="str">
        <f>TEXT(tbl_NCR_Data[[#This Row],[Date Raised]],"mmm")</f>
        <v>Oct</v>
      </c>
      <c r="O3" t="s">
        <v>21</v>
      </c>
      <c r="Q3" t="s">
        <v>22</v>
      </c>
      <c r="S3" t="s">
        <v>31</v>
      </c>
    </row>
    <row r="4" spans="1:19" x14ac:dyDescent="0.25">
      <c r="A4" s="35" t="s">
        <v>26</v>
      </c>
      <c r="B4" s="3">
        <v>45218</v>
      </c>
      <c r="C4" s="4" t="s">
        <v>27</v>
      </c>
      <c r="D4" s="4" t="s">
        <v>28</v>
      </c>
      <c r="E4" s="2" t="s">
        <v>15</v>
      </c>
      <c r="F4" s="4" t="s">
        <v>29</v>
      </c>
      <c r="G4" s="4" t="s">
        <v>17</v>
      </c>
      <c r="H4" s="4" t="s">
        <v>30</v>
      </c>
      <c r="I4" s="3">
        <v>45248</v>
      </c>
      <c r="J4" s="3"/>
      <c r="K4" s="2"/>
      <c r="L4" s="57" t="s">
        <v>31</v>
      </c>
      <c r="M4" s="56" t="str">
        <f>TEXT(tbl_NCR_Data[[#This Row],[Date Raised]],"mmm")</f>
        <v>Oct</v>
      </c>
      <c r="O4" t="s">
        <v>28</v>
      </c>
      <c r="Q4" t="s">
        <v>56</v>
      </c>
      <c r="S4" t="s">
        <v>25</v>
      </c>
    </row>
    <row r="5" spans="1:19" x14ac:dyDescent="0.25">
      <c r="A5" s="36" t="s">
        <v>32</v>
      </c>
      <c r="B5" s="7">
        <v>44934</v>
      </c>
      <c r="C5" s="8" t="s">
        <v>27</v>
      </c>
      <c r="D5" s="8" t="s">
        <v>28</v>
      </c>
      <c r="E5" s="6" t="s">
        <v>22</v>
      </c>
      <c r="F5" s="8" t="s">
        <v>33</v>
      </c>
      <c r="G5" s="8" t="s">
        <v>17</v>
      </c>
      <c r="H5" s="8" t="s">
        <v>18</v>
      </c>
      <c r="I5" s="7">
        <v>44964</v>
      </c>
      <c r="J5" s="7">
        <v>44961</v>
      </c>
      <c r="K5" s="6">
        <v>27</v>
      </c>
      <c r="L5" s="58" t="s">
        <v>25</v>
      </c>
      <c r="M5" s="60" t="str">
        <f>TEXT(tbl_NCR_Data[[#This Row],[Date Raised]],"mmm")</f>
        <v>Jan</v>
      </c>
      <c r="O5" t="s">
        <v>36</v>
      </c>
      <c r="S5" t="s">
        <v>38</v>
      </c>
    </row>
    <row r="6" spans="1:19" x14ac:dyDescent="0.25">
      <c r="A6" s="35" t="s">
        <v>34</v>
      </c>
      <c r="B6" s="3">
        <v>44980</v>
      </c>
      <c r="C6" s="4" t="s">
        <v>35</v>
      </c>
      <c r="D6" s="4" t="s">
        <v>36</v>
      </c>
      <c r="E6" s="2" t="s">
        <v>22</v>
      </c>
      <c r="F6" s="4" t="s">
        <v>37</v>
      </c>
      <c r="G6" s="4" t="s">
        <v>24</v>
      </c>
      <c r="H6" s="4" t="s">
        <v>30</v>
      </c>
      <c r="I6" s="3">
        <v>44987</v>
      </c>
      <c r="J6" s="3"/>
      <c r="K6" s="2"/>
      <c r="L6" s="57" t="s">
        <v>31</v>
      </c>
      <c r="M6" s="56" t="str">
        <f>TEXT(tbl_NCR_Data[[#This Row],[Date Raised]],"mmm")</f>
        <v>Feb</v>
      </c>
      <c r="O6" t="s">
        <v>47</v>
      </c>
    </row>
    <row r="7" spans="1:19" x14ac:dyDescent="0.25">
      <c r="A7" s="36" t="s">
        <v>39</v>
      </c>
      <c r="B7" s="7">
        <v>45124</v>
      </c>
      <c r="C7" s="8" t="s">
        <v>13</v>
      </c>
      <c r="D7" s="8" t="s">
        <v>21</v>
      </c>
      <c r="E7" s="6" t="s">
        <v>22</v>
      </c>
      <c r="F7" s="8" t="s">
        <v>40</v>
      </c>
      <c r="G7" s="8" t="s">
        <v>41</v>
      </c>
      <c r="H7" s="8" t="s">
        <v>18</v>
      </c>
      <c r="I7" s="7">
        <v>45131</v>
      </c>
      <c r="J7" s="7">
        <v>45141</v>
      </c>
      <c r="K7" s="6">
        <v>17</v>
      </c>
      <c r="L7" s="58" t="s">
        <v>25</v>
      </c>
      <c r="M7" s="60" t="str">
        <f>TEXT(tbl_NCR_Data[[#This Row],[Date Raised]],"mmm")</f>
        <v>Jul</v>
      </c>
      <c r="O7" t="s">
        <v>53</v>
      </c>
    </row>
    <row r="8" spans="1:19" x14ac:dyDescent="0.25">
      <c r="A8" s="35" t="s">
        <v>42</v>
      </c>
      <c r="B8" s="3">
        <v>45079</v>
      </c>
      <c r="C8" s="4" t="s">
        <v>13</v>
      </c>
      <c r="D8" s="4" t="s">
        <v>36</v>
      </c>
      <c r="E8" s="2" t="s">
        <v>22</v>
      </c>
      <c r="F8" s="4" t="s">
        <v>43</v>
      </c>
      <c r="G8" s="4" t="s">
        <v>44</v>
      </c>
      <c r="H8" s="4" t="s">
        <v>45</v>
      </c>
      <c r="I8" s="3">
        <v>45139</v>
      </c>
      <c r="J8" s="3"/>
      <c r="K8" s="2"/>
      <c r="L8" s="57" t="s">
        <v>19</v>
      </c>
      <c r="M8" s="56" t="str">
        <f>TEXT(tbl_NCR_Data[[#This Row],[Date Raised]],"mmm")</f>
        <v>Jun</v>
      </c>
      <c r="O8" t="s">
        <v>58</v>
      </c>
    </row>
    <row r="9" spans="1:19" x14ac:dyDescent="0.25">
      <c r="A9" s="36" t="s">
        <v>46</v>
      </c>
      <c r="B9" s="7">
        <v>45117</v>
      </c>
      <c r="C9" s="8" t="s">
        <v>27</v>
      </c>
      <c r="D9" s="8" t="s">
        <v>47</v>
      </c>
      <c r="E9" s="6" t="s">
        <v>22</v>
      </c>
      <c r="F9" s="8" t="s">
        <v>48</v>
      </c>
      <c r="G9" s="8" t="s">
        <v>49</v>
      </c>
      <c r="H9" s="8" t="s">
        <v>50</v>
      </c>
      <c r="I9" s="7">
        <v>45131</v>
      </c>
      <c r="J9" s="7">
        <v>45135</v>
      </c>
      <c r="K9" s="6">
        <v>18</v>
      </c>
      <c r="L9" s="58" t="s">
        <v>25</v>
      </c>
      <c r="M9" s="60" t="str">
        <f>TEXT(tbl_NCR_Data[[#This Row],[Date Raised]],"mmm")</f>
        <v>Jul</v>
      </c>
    </row>
    <row r="10" spans="1:19" x14ac:dyDescent="0.25">
      <c r="A10" s="35" t="s">
        <v>51</v>
      </c>
      <c r="B10" s="3">
        <v>45014</v>
      </c>
      <c r="C10" s="4" t="s">
        <v>52</v>
      </c>
      <c r="D10" s="4" t="s">
        <v>53</v>
      </c>
      <c r="E10" s="2" t="s">
        <v>22</v>
      </c>
      <c r="F10" s="4" t="s">
        <v>54</v>
      </c>
      <c r="G10" s="4" t="s">
        <v>49</v>
      </c>
      <c r="H10" s="4" t="s">
        <v>45</v>
      </c>
      <c r="I10" s="3">
        <v>45021</v>
      </c>
      <c r="J10" s="3">
        <v>45019</v>
      </c>
      <c r="K10" s="2">
        <v>5</v>
      </c>
      <c r="L10" s="57" t="s">
        <v>25</v>
      </c>
      <c r="M10" s="56" t="str">
        <f>TEXT(tbl_NCR_Data[[#This Row],[Date Raised]],"mmm")</f>
        <v>Mar</v>
      </c>
    </row>
    <row r="11" spans="1:19" x14ac:dyDescent="0.25">
      <c r="A11" s="36" t="s">
        <v>55</v>
      </c>
      <c r="B11" s="7">
        <v>45092</v>
      </c>
      <c r="C11" s="8" t="s">
        <v>52</v>
      </c>
      <c r="D11" s="8" t="s">
        <v>47</v>
      </c>
      <c r="E11" s="6" t="s">
        <v>56</v>
      </c>
      <c r="F11" s="8" t="s">
        <v>48</v>
      </c>
      <c r="G11" s="8" t="s">
        <v>17</v>
      </c>
      <c r="H11" s="8" t="s">
        <v>30</v>
      </c>
      <c r="I11" s="7">
        <v>45152</v>
      </c>
      <c r="J11" s="7"/>
      <c r="K11" s="6"/>
      <c r="L11" s="58" t="s">
        <v>31</v>
      </c>
      <c r="M11" s="60" t="str">
        <f>TEXT(tbl_NCR_Data[[#This Row],[Date Raised]],"mmm")</f>
        <v>Jun</v>
      </c>
    </row>
    <row r="12" spans="1:19" x14ac:dyDescent="0.25">
      <c r="A12" s="35" t="s">
        <v>57</v>
      </c>
      <c r="B12" s="3">
        <v>45260</v>
      </c>
      <c r="C12" s="4" t="s">
        <v>52</v>
      </c>
      <c r="D12" s="4" t="s">
        <v>58</v>
      </c>
      <c r="E12" s="2" t="s">
        <v>22</v>
      </c>
      <c r="F12" s="4" t="s">
        <v>59</v>
      </c>
      <c r="G12" s="4" t="s">
        <v>49</v>
      </c>
      <c r="H12" s="4" t="s">
        <v>60</v>
      </c>
      <c r="I12" s="3">
        <v>45290</v>
      </c>
      <c r="J12" s="3"/>
      <c r="K12" s="2"/>
      <c r="L12" s="57" t="s">
        <v>19</v>
      </c>
      <c r="M12" s="56" t="str">
        <f>TEXT(tbl_NCR_Data[[#This Row],[Date Raised]],"mmm")</f>
        <v>Nov</v>
      </c>
    </row>
    <row r="13" spans="1:19" x14ac:dyDescent="0.25">
      <c r="A13" s="36" t="s">
        <v>61</v>
      </c>
      <c r="B13" s="7">
        <v>45150</v>
      </c>
      <c r="C13" s="8" t="s">
        <v>62</v>
      </c>
      <c r="D13" s="8" t="s">
        <v>53</v>
      </c>
      <c r="E13" s="6" t="s">
        <v>22</v>
      </c>
      <c r="F13" s="8" t="s">
        <v>54</v>
      </c>
      <c r="G13" s="8" t="s">
        <v>41</v>
      </c>
      <c r="H13" s="8" t="s">
        <v>30</v>
      </c>
      <c r="I13" s="7">
        <v>45157</v>
      </c>
      <c r="J13" s="7"/>
      <c r="K13" s="6"/>
      <c r="L13" s="58" t="s">
        <v>31</v>
      </c>
      <c r="M13" s="60" t="str">
        <f>TEXT(tbl_NCR_Data[[#This Row],[Date Raised]],"mmm")</f>
        <v>Aug</v>
      </c>
    </row>
    <row r="14" spans="1:19" x14ac:dyDescent="0.25">
      <c r="A14" s="35" t="s">
        <v>63</v>
      </c>
      <c r="B14" s="3">
        <v>44987</v>
      </c>
      <c r="C14" s="4" t="s">
        <v>27</v>
      </c>
      <c r="D14" s="4" t="s">
        <v>28</v>
      </c>
      <c r="E14" s="2" t="s">
        <v>22</v>
      </c>
      <c r="F14" s="4" t="s">
        <v>29</v>
      </c>
      <c r="G14" s="4" t="s">
        <v>41</v>
      </c>
      <c r="H14" s="4" t="s">
        <v>50</v>
      </c>
      <c r="I14" s="3">
        <v>45047</v>
      </c>
      <c r="J14" s="3">
        <v>45019</v>
      </c>
      <c r="K14" s="2">
        <v>32</v>
      </c>
      <c r="L14" s="57" t="s">
        <v>25</v>
      </c>
      <c r="M14" s="56" t="str">
        <f>TEXT(tbl_NCR_Data[[#This Row],[Date Raised]],"mmm")</f>
        <v>Mar</v>
      </c>
    </row>
    <row r="15" spans="1:19" x14ac:dyDescent="0.25">
      <c r="A15" s="36" t="s">
        <v>64</v>
      </c>
      <c r="B15" s="7">
        <v>45201</v>
      </c>
      <c r="C15" s="8" t="s">
        <v>35</v>
      </c>
      <c r="D15" s="8" t="s">
        <v>21</v>
      </c>
      <c r="E15" s="6" t="s">
        <v>15</v>
      </c>
      <c r="F15" s="8" t="s">
        <v>23</v>
      </c>
      <c r="G15" s="8" t="s">
        <v>49</v>
      </c>
      <c r="H15" s="8" t="s">
        <v>50</v>
      </c>
      <c r="I15" s="7">
        <v>45231</v>
      </c>
      <c r="J15" s="7"/>
      <c r="K15" s="6"/>
      <c r="L15" s="58" t="s">
        <v>31</v>
      </c>
      <c r="M15" s="60" t="str">
        <f>TEXT(tbl_NCR_Data[[#This Row],[Date Raised]],"mmm")</f>
        <v>Oct</v>
      </c>
    </row>
    <row r="16" spans="1:19" x14ac:dyDescent="0.25">
      <c r="A16" s="35" t="s">
        <v>65</v>
      </c>
      <c r="B16" s="3">
        <v>45105</v>
      </c>
      <c r="C16" s="4" t="s">
        <v>13</v>
      </c>
      <c r="D16" s="4" t="s">
        <v>47</v>
      </c>
      <c r="E16" s="2" t="s">
        <v>22</v>
      </c>
      <c r="F16" s="4" t="s">
        <v>66</v>
      </c>
      <c r="G16" s="4" t="s">
        <v>24</v>
      </c>
      <c r="H16" s="4" t="s">
        <v>45</v>
      </c>
      <c r="I16" s="3">
        <v>45119</v>
      </c>
      <c r="J16" s="3">
        <v>45114</v>
      </c>
      <c r="K16" s="2">
        <v>9</v>
      </c>
      <c r="L16" s="57" t="s">
        <v>25</v>
      </c>
      <c r="M16" s="56" t="str">
        <f>TEXT(tbl_NCR_Data[[#This Row],[Date Raised]],"mmm")</f>
        <v>Jun</v>
      </c>
    </row>
    <row r="17" spans="1:13" x14ac:dyDescent="0.25">
      <c r="A17" s="36" t="s">
        <v>67</v>
      </c>
      <c r="B17" s="7">
        <v>45251</v>
      </c>
      <c r="C17" s="8" t="s">
        <v>35</v>
      </c>
      <c r="D17" s="8" t="s">
        <v>36</v>
      </c>
      <c r="E17" s="6" t="s">
        <v>56</v>
      </c>
      <c r="F17" s="8" t="s">
        <v>68</v>
      </c>
      <c r="G17" s="8" t="s">
        <v>17</v>
      </c>
      <c r="H17" s="8" t="s">
        <v>45</v>
      </c>
      <c r="I17" s="7">
        <v>45265</v>
      </c>
      <c r="J17" s="7">
        <v>45287</v>
      </c>
      <c r="K17" s="6">
        <v>36</v>
      </c>
      <c r="L17" s="58" t="s">
        <v>25</v>
      </c>
      <c r="M17" s="60" t="str">
        <f>TEXT(tbl_NCR_Data[[#This Row],[Date Raised]],"mmm")</f>
        <v>Nov</v>
      </c>
    </row>
    <row r="18" spans="1:13" x14ac:dyDescent="0.25">
      <c r="A18" s="35" t="s">
        <v>69</v>
      </c>
      <c r="B18" s="3">
        <v>44931</v>
      </c>
      <c r="C18" s="4" t="s">
        <v>62</v>
      </c>
      <c r="D18" s="4" t="s">
        <v>47</v>
      </c>
      <c r="E18" s="2" t="s">
        <v>22</v>
      </c>
      <c r="F18" s="4" t="s">
        <v>70</v>
      </c>
      <c r="G18" s="4" t="s">
        <v>71</v>
      </c>
      <c r="H18" s="4" t="s">
        <v>45</v>
      </c>
      <c r="I18" s="3">
        <v>44945</v>
      </c>
      <c r="J18" s="3">
        <v>44970</v>
      </c>
      <c r="K18" s="2">
        <v>39</v>
      </c>
      <c r="L18" s="57" t="s">
        <v>25</v>
      </c>
      <c r="M18" s="56" t="str">
        <f>TEXT(tbl_NCR_Data[[#This Row],[Date Raised]],"mmm")</f>
        <v>Jan</v>
      </c>
    </row>
    <row r="19" spans="1:13" x14ac:dyDescent="0.25">
      <c r="A19" s="36" t="s">
        <v>72</v>
      </c>
      <c r="B19" s="7">
        <v>44971</v>
      </c>
      <c r="C19" s="8" t="s">
        <v>13</v>
      </c>
      <c r="D19" s="8" t="s">
        <v>28</v>
      </c>
      <c r="E19" s="6" t="s">
        <v>22</v>
      </c>
      <c r="F19" s="8" t="s">
        <v>73</v>
      </c>
      <c r="G19" s="8" t="s">
        <v>41</v>
      </c>
      <c r="H19" s="8" t="s">
        <v>18</v>
      </c>
      <c r="I19" s="7">
        <v>44985</v>
      </c>
      <c r="J19" s="7"/>
      <c r="K19" s="6"/>
      <c r="L19" s="58" t="s">
        <v>19</v>
      </c>
      <c r="M19" s="60" t="str">
        <f>TEXT(tbl_NCR_Data[[#This Row],[Date Raised]],"mmm")</f>
        <v>Feb</v>
      </c>
    </row>
    <row r="20" spans="1:13" x14ac:dyDescent="0.25">
      <c r="A20" s="35" t="s">
        <v>74</v>
      </c>
      <c r="B20" s="3">
        <v>45212</v>
      </c>
      <c r="C20" s="4" t="s">
        <v>27</v>
      </c>
      <c r="D20" s="4" t="s">
        <v>47</v>
      </c>
      <c r="E20" s="2" t="s">
        <v>22</v>
      </c>
      <c r="F20" s="4" t="s">
        <v>66</v>
      </c>
      <c r="G20" s="4" t="s">
        <v>17</v>
      </c>
      <c r="H20" s="4" t="s">
        <v>60</v>
      </c>
      <c r="I20" s="3">
        <v>45226</v>
      </c>
      <c r="J20" s="3"/>
      <c r="K20" s="2"/>
      <c r="L20" s="57" t="s">
        <v>19</v>
      </c>
      <c r="M20" s="56" t="str">
        <f>TEXT(tbl_NCR_Data[[#This Row],[Date Raised]],"mmm")</f>
        <v>Oct</v>
      </c>
    </row>
    <row r="21" spans="1:13" x14ac:dyDescent="0.25">
      <c r="A21" s="36" t="s">
        <v>75</v>
      </c>
      <c r="B21" s="7">
        <v>45135</v>
      </c>
      <c r="C21" s="8" t="s">
        <v>35</v>
      </c>
      <c r="D21" s="8" t="s">
        <v>53</v>
      </c>
      <c r="E21" s="6" t="s">
        <v>15</v>
      </c>
      <c r="F21" s="8" t="s">
        <v>76</v>
      </c>
      <c r="G21" s="8" t="s">
        <v>24</v>
      </c>
      <c r="H21" s="8" t="s">
        <v>18</v>
      </c>
      <c r="I21" s="7">
        <v>45149</v>
      </c>
      <c r="J21" s="7">
        <v>45139</v>
      </c>
      <c r="K21" s="6">
        <v>4</v>
      </c>
      <c r="L21" s="58" t="s">
        <v>25</v>
      </c>
      <c r="M21" s="60" t="str">
        <f>TEXT(tbl_NCR_Data[[#This Row],[Date Raised]],"mmm")</f>
        <v>Jul</v>
      </c>
    </row>
    <row r="22" spans="1:13" x14ac:dyDescent="0.25">
      <c r="A22" s="35" t="s">
        <v>77</v>
      </c>
      <c r="B22" s="3">
        <v>45232</v>
      </c>
      <c r="C22" s="4" t="s">
        <v>62</v>
      </c>
      <c r="D22" s="4" t="s">
        <v>58</v>
      </c>
      <c r="E22" s="2" t="s">
        <v>15</v>
      </c>
      <c r="F22" s="4" t="s">
        <v>78</v>
      </c>
      <c r="G22" s="4" t="s">
        <v>24</v>
      </c>
      <c r="H22" s="4" t="s">
        <v>50</v>
      </c>
      <c r="I22" s="3">
        <v>45246</v>
      </c>
      <c r="J22" s="3">
        <v>45237</v>
      </c>
      <c r="K22" s="2">
        <v>5</v>
      </c>
      <c r="L22" s="57" t="s">
        <v>25</v>
      </c>
      <c r="M22" s="56" t="str">
        <f>TEXT(tbl_NCR_Data[[#This Row],[Date Raised]],"mmm")</f>
        <v>Nov</v>
      </c>
    </row>
    <row r="23" spans="1:13" x14ac:dyDescent="0.25">
      <c r="A23" s="36" t="s">
        <v>79</v>
      </c>
      <c r="B23" s="7">
        <v>45100</v>
      </c>
      <c r="C23" s="8" t="s">
        <v>13</v>
      </c>
      <c r="D23" s="8" t="s">
        <v>21</v>
      </c>
      <c r="E23" s="6" t="s">
        <v>22</v>
      </c>
      <c r="F23" s="8" t="s">
        <v>80</v>
      </c>
      <c r="G23" s="8" t="s">
        <v>17</v>
      </c>
      <c r="H23" s="8" t="s">
        <v>60</v>
      </c>
      <c r="I23" s="7">
        <v>45114</v>
      </c>
      <c r="J23" s="7"/>
      <c r="K23" s="6"/>
      <c r="L23" s="58" t="s">
        <v>19</v>
      </c>
      <c r="M23" s="60" t="str">
        <f>TEXT(tbl_NCR_Data[[#This Row],[Date Raised]],"mmm")</f>
        <v>Jun</v>
      </c>
    </row>
    <row r="24" spans="1:13" x14ac:dyDescent="0.25">
      <c r="A24" s="35" t="s">
        <v>81</v>
      </c>
      <c r="B24" s="3">
        <v>45223</v>
      </c>
      <c r="C24" s="4" t="s">
        <v>62</v>
      </c>
      <c r="D24" s="4" t="s">
        <v>53</v>
      </c>
      <c r="E24" s="2" t="s">
        <v>22</v>
      </c>
      <c r="F24" s="4" t="s">
        <v>76</v>
      </c>
      <c r="G24" s="4" t="s">
        <v>44</v>
      </c>
      <c r="H24" s="4" t="s">
        <v>18</v>
      </c>
      <c r="I24" s="3">
        <v>45230</v>
      </c>
      <c r="J24" s="3">
        <v>45253</v>
      </c>
      <c r="K24" s="2">
        <v>30</v>
      </c>
      <c r="L24" s="57" t="s">
        <v>25</v>
      </c>
      <c r="M24" s="56" t="str">
        <f>TEXT(tbl_NCR_Data[[#This Row],[Date Raised]],"mmm")</f>
        <v>Oct</v>
      </c>
    </row>
    <row r="25" spans="1:13" x14ac:dyDescent="0.25">
      <c r="A25" s="36" t="s">
        <v>82</v>
      </c>
      <c r="B25" s="7">
        <v>45112</v>
      </c>
      <c r="C25" s="8" t="s">
        <v>52</v>
      </c>
      <c r="D25" s="8" t="s">
        <v>53</v>
      </c>
      <c r="E25" s="6" t="s">
        <v>22</v>
      </c>
      <c r="F25" s="8" t="s">
        <v>83</v>
      </c>
      <c r="G25" s="8" t="s">
        <v>49</v>
      </c>
      <c r="H25" s="8" t="s">
        <v>50</v>
      </c>
      <c r="I25" s="7">
        <v>45119</v>
      </c>
      <c r="J25" s="7">
        <v>45136</v>
      </c>
      <c r="K25" s="6">
        <v>24</v>
      </c>
      <c r="L25" s="58" t="s">
        <v>25</v>
      </c>
      <c r="M25" s="60" t="str">
        <f>TEXT(tbl_NCR_Data[[#This Row],[Date Raised]],"mmm")</f>
        <v>Jul</v>
      </c>
    </row>
    <row r="26" spans="1:13" x14ac:dyDescent="0.25">
      <c r="A26" s="35" t="s">
        <v>84</v>
      </c>
      <c r="B26" s="3">
        <v>44986</v>
      </c>
      <c r="C26" s="4" t="s">
        <v>27</v>
      </c>
      <c r="D26" s="4" t="s">
        <v>58</v>
      </c>
      <c r="E26" s="2" t="s">
        <v>22</v>
      </c>
      <c r="F26" s="4" t="s">
        <v>85</v>
      </c>
      <c r="G26" s="4" t="s">
        <v>17</v>
      </c>
      <c r="H26" s="4" t="s">
        <v>30</v>
      </c>
      <c r="I26" s="3">
        <v>45000</v>
      </c>
      <c r="J26" s="3">
        <v>45004</v>
      </c>
      <c r="K26" s="2">
        <v>18</v>
      </c>
      <c r="L26" s="57" t="s">
        <v>25</v>
      </c>
      <c r="M26" s="56" t="str">
        <f>TEXT(tbl_NCR_Data[[#This Row],[Date Raised]],"mmm")</f>
        <v>Mar</v>
      </c>
    </row>
    <row r="27" spans="1:13" x14ac:dyDescent="0.25">
      <c r="A27" s="36" t="s">
        <v>86</v>
      </c>
      <c r="B27" s="7">
        <v>44969</v>
      </c>
      <c r="C27" s="8" t="s">
        <v>52</v>
      </c>
      <c r="D27" s="8" t="s">
        <v>36</v>
      </c>
      <c r="E27" s="6" t="s">
        <v>15</v>
      </c>
      <c r="F27" s="8" t="s">
        <v>43</v>
      </c>
      <c r="G27" s="8" t="s">
        <v>24</v>
      </c>
      <c r="H27" s="8" t="s">
        <v>60</v>
      </c>
      <c r="I27" s="7">
        <v>44976</v>
      </c>
      <c r="J27" s="7"/>
      <c r="K27" s="6"/>
      <c r="L27" s="58" t="s">
        <v>38</v>
      </c>
      <c r="M27" s="60" t="str">
        <f>TEXT(tbl_NCR_Data[[#This Row],[Date Raised]],"mmm")</f>
        <v>Feb</v>
      </c>
    </row>
    <row r="28" spans="1:13" x14ac:dyDescent="0.25">
      <c r="A28" s="35" t="s">
        <v>87</v>
      </c>
      <c r="B28" s="3">
        <v>45052</v>
      </c>
      <c r="C28" s="4" t="s">
        <v>27</v>
      </c>
      <c r="D28" s="4" t="s">
        <v>53</v>
      </c>
      <c r="E28" s="2" t="s">
        <v>22</v>
      </c>
      <c r="F28" s="4" t="s">
        <v>54</v>
      </c>
      <c r="G28" s="4" t="s">
        <v>44</v>
      </c>
      <c r="H28" s="4" t="s">
        <v>50</v>
      </c>
      <c r="I28" s="3">
        <v>45066</v>
      </c>
      <c r="J28" s="3">
        <v>45079</v>
      </c>
      <c r="K28" s="2">
        <v>27</v>
      </c>
      <c r="L28" s="57" t="s">
        <v>25</v>
      </c>
      <c r="M28" s="56" t="str">
        <f>TEXT(tbl_NCR_Data[[#This Row],[Date Raised]],"mmm")</f>
        <v>May</v>
      </c>
    </row>
    <row r="29" spans="1:13" x14ac:dyDescent="0.25">
      <c r="A29" s="36" t="s">
        <v>88</v>
      </c>
      <c r="B29" s="7">
        <v>45066</v>
      </c>
      <c r="C29" s="8" t="s">
        <v>52</v>
      </c>
      <c r="D29" s="8" t="s">
        <v>47</v>
      </c>
      <c r="E29" s="6" t="s">
        <v>22</v>
      </c>
      <c r="F29" s="8" t="s">
        <v>66</v>
      </c>
      <c r="G29" s="8" t="s">
        <v>17</v>
      </c>
      <c r="H29" s="8" t="s">
        <v>18</v>
      </c>
      <c r="I29" s="7">
        <v>45096</v>
      </c>
      <c r="J29" s="7">
        <v>45072</v>
      </c>
      <c r="K29" s="6">
        <v>6</v>
      </c>
      <c r="L29" s="58" t="s">
        <v>25</v>
      </c>
      <c r="M29" s="60" t="str">
        <f>TEXT(tbl_NCR_Data[[#This Row],[Date Raised]],"mmm")</f>
        <v>May</v>
      </c>
    </row>
    <row r="30" spans="1:13" x14ac:dyDescent="0.25">
      <c r="A30" s="35" t="s">
        <v>89</v>
      </c>
      <c r="B30" s="3">
        <v>45227</v>
      </c>
      <c r="C30" s="4" t="s">
        <v>62</v>
      </c>
      <c r="D30" s="4" t="s">
        <v>14</v>
      </c>
      <c r="E30" s="2" t="s">
        <v>15</v>
      </c>
      <c r="F30" s="4" t="s">
        <v>90</v>
      </c>
      <c r="G30" s="4" t="s">
        <v>24</v>
      </c>
      <c r="H30" s="4" t="s">
        <v>60</v>
      </c>
      <c r="I30" s="3">
        <v>45287</v>
      </c>
      <c r="J30" s="3">
        <v>45263</v>
      </c>
      <c r="K30" s="2">
        <v>36</v>
      </c>
      <c r="L30" s="57" t="s">
        <v>25</v>
      </c>
      <c r="M30" s="56" t="str">
        <f>TEXT(tbl_NCR_Data[[#This Row],[Date Raised]],"mmm")</f>
        <v>Oct</v>
      </c>
    </row>
    <row r="31" spans="1:13" x14ac:dyDescent="0.25">
      <c r="A31" s="36" t="s">
        <v>91</v>
      </c>
      <c r="B31" s="7">
        <v>45011</v>
      </c>
      <c r="C31" s="8" t="s">
        <v>13</v>
      </c>
      <c r="D31" s="8" t="s">
        <v>21</v>
      </c>
      <c r="E31" s="6" t="s">
        <v>15</v>
      </c>
      <c r="F31" s="8" t="s">
        <v>92</v>
      </c>
      <c r="G31" s="8" t="s">
        <v>24</v>
      </c>
      <c r="H31" s="8" t="s">
        <v>60</v>
      </c>
      <c r="I31" s="7">
        <v>45018</v>
      </c>
      <c r="J31" s="7"/>
      <c r="K31" s="6"/>
      <c r="L31" s="58" t="s">
        <v>19</v>
      </c>
      <c r="M31" s="60" t="str">
        <f>TEXT(tbl_NCR_Data[[#This Row],[Date Raised]],"mmm")</f>
        <v>Mar</v>
      </c>
    </row>
    <row r="32" spans="1:13" x14ac:dyDescent="0.25">
      <c r="A32" s="35" t="s">
        <v>93</v>
      </c>
      <c r="B32" s="3">
        <v>45051</v>
      </c>
      <c r="C32" s="4" t="s">
        <v>52</v>
      </c>
      <c r="D32" s="4" t="s">
        <v>14</v>
      </c>
      <c r="E32" s="2" t="s">
        <v>15</v>
      </c>
      <c r="F32" s="4" t="s">
        <v>16</v>
      </c>
      <c r="G32" s="4" t="s">
        <v>41</v>
      </c>
      <c r="H32" s="4" t="s">
        <v>60</v>
      </c>
      <c r="I32" s="3">
        <v>45058</v>
      </c>
      <c r="J32" s="3"/>
      <c r="K32" s="2"/>
      <c r="L32" s="57" t="s">
        <v>19</v>
      </c>
      <c r="M32" s="56" t="str">
        <f>TEXT(tbl_NCR_Data[[#This Row],[Date Raised]],"mmm")</f>
        <v>May</v>
      </c>
    </row>
    <row r="33" spans="1:13" x14ac:dyDescent="0.25">
      <c r="A33" s="36" t="s">
        <v>94</v>
      </c>
      <c r="B33" s="7">
        <v>45145</v>
      </c>
      <c r="C33" s="8" t="s">
        <v>62</v>
      </c>
      <c r="D33" s="8" t="s">
        <v>21</v>
      </c>
      <c r="E33" s="6" t="s">
        <v>22</v>
      </c>
      <c r="F33" s="8" t="s">
        <v>40</v>
      </c>
      <c r="G33" s="8" t="s">
        <v>17</v>
      </c>
      <c r="H33" s="8" t="s">
        <v>45</v>
      </c>
      <c r="I33" s="7">
        <v>45159</v>
      </c>
      <c r="J33" s="7">
        <v>45156</v>
      </c>
      <c r="K33" s="6">
        <v>11</v>
      </c>
      <c r="L33" s="58" t="s">
        <v>25</v>
      </c>
      <c r="M33" s="60" t="str">
        <f>TEXT(tbl_NCR_Data[[#This Row],[Date Raised]],"mmm")</f>
        <v>Aug</v>
      </c>
    </row>
    <row r="34" spans="1:13" x14ac:dyDescent="0.25">
      <c r="A34" s="35" t="s">
        <v>95</v>
      </c>
      <c r="B34" s="3">
        <v>45274</v>
      </c>
      <c r="C34" s="4" t="s">
        <v>35</v>
      </c>
      <c r="D34" s="4" t="s">
        <v>53</v>
      </c>
      <c r="E34" s="2" t="s">
        <v>22</v>
      </c>
      <c r="F34" s="4" t="s">
        <v>83</v>
      </c>
      <c r="G34" s="4" t="s">
        <v>24</v>
      </c>
      <c r="H34" s="4" t="s">
        <v>30</v>
      </c>
      <c r="I34" s="3">
        <v>45281</v>
      </c>
      <c r="J34" s="3">
        <v>45290</v>
      </c>
      <c r="K34" s="2">
        <v>16</v>
      </c>
      <c r="L34" s="57" t="s">
        <v>25</v>
      </c>
      <c r="M34" s="56" t="str">
        <f>TEXT(tbl_NCR_Data[[#This Row],[Date Raised]],"mmm")</f>
        <v>Dec</v>
      </c>
    </row>
    <row r="35" spans="1:13" x14ac:dyDescent="0.25">
      <c r="A35" s="36" t="s">
        <v>96</v>
      </c>
      <c r="B35" s="7">
        <v>45190</v>
      </c>
      <c r="C35" s="8" t="s">
        <v>35</v>
      </c>
      <c r="D35" s="8" t="s">
        <v>58</v>
      </c>
      <c r="E35" s="6" t="s">
        <v>15</v>
      </c>
      <c r="F35" s="8" t="s">
        <v>78</v>
      </c>
      <c r="G35" s="8" t="s">
        <v>17</v>
      </c>
      <c r="H35" s="8" t="s">
        <v>45</v>
      </c>
      <c r="I35" s="7">
        <v>45220</v>
      </c>
      <c r="J35" s="7">
        <v>45227</v>
      </c>
      <c r="K35" s="6">
        <v>37</v>
      </c>
      <c r="L35" s="58" t="s">
        <v>25</v>
      </c>
      <c r="M35" s="60" t="str">
        <f>TEXT(tbl_NCR_Data[[#This Row],[Date Raised]],"mmm")</f>
        <v>Sep</v>
      </c>
    </row>
    <row r="36" spans="1:13" x14ac:dyDescent="0.25">
      <c r="A36" s="35" t="s">
        <v>97</v>
      </c>
      <c r="B36" s="3">
        <v>45085</v>
      </c>
      <c r="C36" s="4" t="s">
        <v>62</v>
      </c>
      <c r="D36" s="4" t="s">
        <v>36</v>
      </c>
      <c r="E36" s="2" t="s">
        <v>15</v>
      </c>
      <c r="F36" s="4" t="s">
        <v>43</v>
      </c>
      <c r="G36" s="4" t="s">
        <v>49</v>
      </c>
      <c r="H36" s="4" t="s">
        <v>60</v>
      </c>
      <c r="I36" s="3">
        <v>45115</v>
      </c>
      <c r="J36" s="3"/>
      <c r="K36" s="2"/>
      <c r="L36" s="57" t="s">
        <v>38</v>
      </c>
      <c r="M36" s="56" t="str">
        <f>TEXT(tbl_NCR_Data[[#This Row],[Date Raised]],"mmm")</f>
        <v>Jun</v>
      </c>
    </row>
    <row r="37" spans="1:13" x14ac:dyDescent="0.25">
      <c r="A37" s="36" t="s">
        <v>98</v>
      </c>
      <c r="B37" s="7">
        <v>44984</v>
      </c>
      <c r="C37" s="8" t="s">
        <v>27</v>
      </c>
      <c r="D37" s="8" t="s">
        <v>47</v>
      </c>
      <c r="E37" s="6" t="s">
        <v>56</v>
      </c>
      <c r="F37" s="8" t="s">
        <v>70</v>
      </c>
      <c r="G37" s="8" t="s">
        <v>49</v>
      </c>
      <c r="H37" s="8" t="s">
        <v>60</v>
      </c>
      <c r="I37" s="7">
        <v>44998</v>
      </c>
      <c r="J37" s="7">
        <v>45025</v>
      </c>
      <c r="K37" s="6">
        <v>41</v>
      </c>
      <c r="L37" s="58" t="s">
        <v>25</v>
      </c>
      <c r="M37" s="60" t="str">
        <f>TEXT(tbl_NCR_Data[[#This Row],[Date Raised]],"mmm")</f>
        <v>Feb</v>
      </c>
    </row>
    <row r="38" spans="1:13" x14ac:dyDescent="0.25">
      <c r="A38" s="35" t="s">
        <v>99</v>
      </c>
      <c r="B38" s="3">
        <v>45038</v>
      </c>
      <c r="C38" s="4" t="s">
        <v>35</v>
      </c>
      <c r="D38" s="4" t="s">
        <v>58</v>
      </c>
      <c r="E38" s="2" t="s">
        <v>15</v>
      </c>
      <c r="F38" s="4" t="s">
        <v>100</v>
      </c>
      <c r="G38" s="4" t="s">
        <v>41</v>
      </c>
      <c r="H38" s="4" t="s">
        <v>30</v>
      </c>
      <c r="I38" s="3">
        <v>45068</v>
      </c>
      <c r="J38" s="3"/>
      <c r="K38" s="2"/>
      <c r="L38" s="57" t="s">
        <v>38</v>
      </c>
      <c r="M38" s="56" t="str">
        <f>TEXT(tbl_NCR_Data[[#This Row],[Date Raised]],"mmm")</f>
        <v>Apr</v>
      </c>
    </row>
    <row r="39" spans="1:13" x14ac:dyDescent="0.25">
      <c r="A39" s="36" t="s">
        <v>101</v>
      </c>
      <c r="B39" s="7">
        <v>44957</v>
      </c>
      <c r="C39" s="8" t="s">
        <v>13</v>
      </c>
      <c r="D39" s="8" t="s">
        <v>28</v>
      </c>
      <c r="E39" s="6" t="s">
        <v>22</v>
      </c>
      <c r="F39" s="8" t="s">
        <v>33</v>
      </c>
      <c r="G39" s="8" t="s">
        <v>24</v>
      </c>
      <c r="H39" s="8" t="s">
        <v>50</v>
      </c>
      <c r="I39" s="7">
        <v>44987</v>
      </c>
      <c r="J39" s="7"/>
      <c r="K39" s="6"/>
      <c r="L39" s="58" t="s">
        <v>31</v>
      </c>
      <c r="M39" s="60" t="str">
        <f>TEXT(tbl_NCR_Data[[#This Row],[Date Raised]],"mmm")</f>
        <v>Jan</v>
      </c>
    </row>
    <row r="40" spans="1:13" x14ac:dyDescent="0.25">
      <c r="A40" s="35" t="s">
        <v>102</v>
      </c>
      <c r="B40" s="3">
        <v>45257</v>
      </c>
      <c r="C40" s="4" t="s">
        <v>35</v>
      </c>
      <c r="D40" s="4" t="s">
        <v>58</v>
      </c>
      <c r="E40" s="2" t="s">
        <v>15</v>
      </c>
      <c r="F40" s="4" t="s">
        <v>85</v>
      </c>
      <c r="G40" s="4" t="s">
        <v>41</v>
      </c>
      <c r="H40" s="4" t="s">
        <v>50</v>
      </c>
      <c r="I40" s="3">
        <v>45264</v>
      </c>
      <c r="J40" s="3">
        <v>45269</v>
      </c>
      <c r="K40" s="2">
        <v>12</v>
      </c>
      <c r="L40" s="57" t="s">
        <v>25</v>
      </c>
      <c r="M40" s="56" t="str">
        <f>TEXT(tbl_NCR_Data[[#This Row],[Date Raised]],"mmm")</f>
        <v>Nov</v>
      </c>
    </row>
    <row r="41" spans="1:13" x14ac:dyDescent="0.25">
      <c r="A41" s="36" t="s">
        <v>103</v>
      </c>
      <c r="B41" s="7">
        <v>45210</v>
      </c>
      <c r="C41" s="8" t="s">
        <v>13</v>
      </c>
      <c r="D41" s="8" t="s">
        <v>36</v>
      </c>
      <c r="E41" s="6" t="s">
        <v>22</v>
      </c>
      <c r="F41" s="8" t="s">
        <v>68</v>
      </c>
      <c r="G41" s="8" t="s">
        <v>44</v>
      </c>
      <c r="H41" s="8" t="s">
        <v>18</v>
      </c>
      <c r="I41" s="7">
        <v>45217</v>
      </c>
      <c r="J41" s="7">
        <v>45215</v>
      </c>
      <c r="K41" s="6">
        <v>5</v>
      </c>
      <c r="L41" s="58" t="s">
        <v>25</v>
      </c>
      <c r="M41" s="60" t="str">
        <f>TEXT(tbl_NCR_Data[[#This Row],[Date Raised]],"mmm")</f>
        <v>Oct</v>
      </c>
    </row>
    <row r="42" spans="1:13" x14ac:dyDescent="0.25">
      <c r="A42" s="35" t="s">
        <v>104</v>
      </c>
      <c r="B42" s="3">
        <v>45114</v>
      </c>
      <c r="C42" s="4" t="s">
        <v>27</v>
      </c>
      <c r="D42" s="4" t="s">
        <v>28</v>
      </c>
      <c r="E42" s="2" t="s">
        <v>22</v>
      </c>
      <c r="F42" s="4" t="s">
        <v>73</v>
      </c>
      <c r="G42" s="4" t="s">
        <v>71</v>
      </c>
      <c r="H42" s="4" t="s">
        <v>60</v>
      </c>
      <c r="I42" s="3">
        <v>45174</v>
      </c>
      <c r="J42" s="3"/>
      <c r="K42" s="2"/>
      <c r="L42" s="57" t="s">
        <v>38</v>
      </c>
      <c r="M42" s="56" t="str">
        <f>TEXT(tbl_NCR_Data[[#This Row],[Date Raised]],"mmm")</f>
        <v>Jul</v>
      </c>
    </row>
    <row r="43" spans="1:13" x14ac:dyDescent="0.25">
      <c r="A43" s="36" t="s">
        <v>105</v>
      </c>
      <c r="B43" s="7">
        <v>45010</v>
      </c>
      <c r="C43" s="8" t="s">
        <v>27</v>
      </c>
      <c r="D43" s="8" t="s">
        <v>36</v>
      </c>
      <c r="E43" s="6" t="s">
        <v>22</v>
      </c>
      <c r="F43" s="8" t="s">
        <v>68</v>
      </c>
      <c r="G43" s="8" t="s">
        <v>44</v>
      </c>
      <c r="H43" s="8" t="s">
        <v>50</v>
      </c>
      <c r="I43" s="7">
        <v>45024</v>
      </c>
      <c r="J43" s="7"/>
      <c r="K43" s="6"/>
      <c r="L43" s="58" t="s">
        <v>19</v>
      </c>
      <c r="M43" s="60" t="str">
        <f>TEXT(tbl_NCR_Data[[#This Row],[Date Raised]],"mmm")</f>
        <v>Mar</v>
      </c>
    </row>
    <row r="44" spans="1:13" x14ac:dyDescent="0.25">
      <c r="A44" s="35" t="s">
        <v>106</v>
      </c>
      <c r="B44" s="3">
        <v>45101</v>
      </c>
      <c r="C44" s="4" t="s">
        <v>52</v>
      </c>
      <c r="D44" s="4" t="s">
        <v>36</v>
      </c>
      <c r="E44" s="2" t="s">
        <v>15</v>
      </c>
      <c r="F44" s="4" t="s">
        <v>68</v>
      </c>
      <c r="G44" s="4" t="s">
        <v>71</v>
      </c>
      <c r="H44" s="4" t="s">
        <v>18</v>
      </c>
      <c r="I44" s="3">
        <v>45108</v>
      </c>
      <c r="J44" s="3">
        <v>45106</v>
      </c>
      <c r="K44" s="2">
        <v>5</v>
      </c>
      <c r="L44" s="57" t="s">
        <v>25</v>
      </c>
      <c r="M44" s="56" t="str">
        <f>TEXT(tbl_NCR_Data[[#This Row],[Date Raised]],"mmm")</f>
        <v>Jun</v>
      </c>
    </row>
    <row r="45" spans="1:13" x14ac:dyDescent="0.25">
      <c r="A45" s="36" t="s">
        <v>107</v>
      </c>
      <c r="B45" s="7">
        <v>45171</v>
      </c>
      <c r="C45" s="8" t="s">
        <v>27</v>
      </c>
      <c r="D45" s="8" t="s">
        <v>58</v>
      </c>
      <c r="E45" s="6" t="s">
        <v>15</v>
      </c>
      <c r="F45" s="8" t="s">
        <v>85</v>
      </c>
      <c r="G45" s="8" t="s">
        <v>71</v>
      </c>
      <c r="H45" s="8" t="s">
        <v>45</v>
      </c>
      <c r="I45" s="7">
        <v>45185</v>
      </c>
      <c r="J45" s="7">
        <v>45216</v>
      </c>
      <c r="K45" s="6">
        <v>45</v>
      </c>
      <c r="L45" s="58" t="s">
        <v>25</v>
      </c>
      <c r="M45" s="60" t="str">
        <f>TEXT(tbl_NCR_Data[[#This Row],[Date Raised]],"mmm")</f>
        <v>Sep</v>
      </c>
    </row>
    <row r="46" spans="1:13" x14ac:dyDescent="0.25">
      <c r="A46" s="35" t="s">
        <v>108</v>
      </c>
      <c r="B46" s="3">
        <v>45029</v>
      </c>
      <c r="C46" s="4" t="s">
        <v>52</v>
      </c>
      <c r="D46" s="4" t="s">
        <v>47</v>
      </c>
      <c r="E46" s="2" t="s">
        <v>22</v>
      </c>
      <c r="F46" s="4" t="s">
        <v>70</v>
      </c>
      <c r="G46" s="4" t="s">
        <v>71</v>
      </c>
      <c r="H46" s="4" t="s">
        <v>45</v>
      </c>
      <c r="I46" s="3">
        <v>45089</v>
      </c>
      <c r="J46" s="3"/>
      <c r="K46" s="2"/>
      <c r="L46" s="57" t="s">
        <v>19</v>
      </c>
      <c r="M46" s="56" t="str">
        <f>TEXT(tbl_NCR_Data[[#This Row],[Date Raised]],"mmm")</f>
        <v>Apr</v>
      </c>
    </row>
    <row r="47" spans="1:13" x14ac:dyDescent="0.25">
      <c r="A47" s="36" t="s">
        <v>109</v>
      </c>
      <c r="B47" s="7">
        <v>45205</v>
      </c>
      <c r="C47" s="8" t="s">
        <v>35</v>
      </c>
      <c r="D47" s="8" t="s">
        <v>14</v>
      </c>
      <c r="E47" s="6" t="s">
        <v>56</v>
      </c>
      <c r="F47" s="8" t="s">
        <v>110</v>
      </c>
      <c r="G47" s="8" t="s">
        <v>17</v>
      </c>
      <c r="H47" s="8" t="s">
        <v>60</v>
      </c>
      <c r="I47" s="7">
        <v>45235</v>
      </c>
      <c r="J47" s="7">
        <v>45246</v>
      </c>
      <c r="K47" s="6">
        <v>41</v>
      </c>
      <c r="L47" s="58" t="s">
        <v>25</v>
      </c>
      <c r="M47" s="60" t="str">
        <f>TEXT(tbl_NCR_Data[[#This Row],[Date Raised]],"mmm")</f>
        <v>Oct</v>
      </c>
    </row>
    <row r="48" spans="1:13" x14ac:dyDescent="0.25">
      <c r="A48" s="35" t="s">
        <v>111</v>
      </c>
      <c r="B48" s="3">
        <v>45153</v>
      </c>
      <c r="C48" s="4" t="s">
        <v>35</v>
      </c>
      <c r="D48" s="4" t="s">
        <v>28</v>
      </c>
      <c r="E48" s="2" t="s">
        <v>15</v>
      </c>
      <c r="F48" s="4" t="s">
        <v>29</v>
      </c>
      <c r="G48" s="4" t="s">
        <v>41</v>
      </c>
      <c r="H48" s="4" t="s">
        <v>60</v>
      </c>
      <c r="I48" s="3">
        <v>45160</v>
      </c>
      <c r="J48" s="3">
        <v>45192</v>
      </c>
      <c r="K48" s="2">
        <v>39</v>
      </c>
      <c r="L48" s="57" t="s">
        <v>25</v>
      </c>
      <c r="M48" s="56" t="str">
        <f>TEXT(tbl_NCR_Data[[#This Row],[Date Raised]],"mmm")</f>
        <v>Aug</v>
      </c>
    </row>
    <row r="49" spans="1:13" x14ac:dyDescent="0.25">
      <c r="A49" s="36" t="s">
        <v>112</v>
      </c>
      <c r="B49" s="7">
        <v>45028</v>
      </c>
      <c r="C49" s="8" t="s">
        <v>35</v>
      </c>
      <c r="D49" s="8" t="s">
        <v>14</v>
      </c>
      <c r="E49" s="6" t="s">
        <v>15</v>
      </c>
      <c r="F49" s="8" t="s">
        <v>90</v>
      </c>
      <c r="G49" s="8" t="s">
        <v>41</v>
      </c>
      <c r="H49" s="8" t="s">
        <v>60</v>
      </c>
      <c r="I49" s="7">
        <v>45042</v>
      </c>
      <c r="J49" s="7">
        <v>45035</v>
      </c>
      <c r="K49" s="6">
        <v>7</v>
      </c>
      <c r="L49" s="58" t="s">
        <v>25</v>
      </c>
      <c r="M49" s="60" t="str">
        <f>TEXT(tbl_NCR_Data[[#This Row],[Date Raised]],"mmm")</f>
        <v>Apr</v>
      </c>
    </row>
    <row r="50" spans="1:13" x14ac:dyDescent="0.25">
      <c r="A50" s="35" t="s">
        <v>113</v>
      </c>
      <c r="B50" s="3">
        <v>45271</v>
      </c>
      <c r="C50" s="4" t="s">
        <v>35</v>
      </c>
      <c r="D50" s="4" t="s">
        <v>21</v>
      </c>
      <c r="E50" s="2" t="s">
        <v>22</v>
      </c>
      <c r="F50" s="4" t="s">
        <v>23</v>
      </c>
      <c r="G50" s="4" t="s">
        <v>49</v>
      </c>
      <c r="H50" s="4" t="s">
        <v>45</v>
      </c>
      <c r="I50" s="3">
        <v>45301</v>
      </c>
      <c r="J50" s="3"/>
      <c r="K50" s="2"/>
      <c r="L50" s="57" t="s">
        <v>19</v>
      </c>
      <c r="M50" s="56" t="str">
        <f>TEXT(tbl_NCR_Data[[#This Row],[Date Raised]],"mmm")</f>
        <v>Dec</v>
      </c>
    </row>
    <row r="51" spans="1:13" x14ac:dyDescent="0.25">
      <c r="A51" s="36" t="s">
        <v>114</v>
      </c>
      <c r="B51" s="7">
        <v>45098</v>
      </c>
      <c r="C51" s="8" t="s">
        <v>52</v>
      </c>
      <c r="D51" s="8" t="s">
        <v>28</v>
      </c>
      <c r="E51" s="6" t="s">
        <v>22</v>
      </c>
      <c r="F51" s="8" t="s">
        <v>115</v>
      </c>
      <c r="G51" s="8" t="s">
        <v>17</v>
      </c>
      <c r="H51" s="8" t="s">
        <v>30</v>
      </c>
      <c r="I51" s="7">
        <v>45158</v>
      </c>
      <c r="J51" s="7"/>
      <c r="K51" s="6"/>
      <c r="L51" s="58" t="s">
        <v>19</v>
      </c>
      <c r="M51" s="60" t="str">
        <f>TEXT(tbl_NCR_Data[[#This Row],[Date Raised]],"mmm")</f>
        <v>Jun</v>
      </c>
    </row>
    <row r="52" spans="1:13" x14ac:dyDescent="0.25">
      <c r="A52" s="35" t="s">
        <v>116</v>
      </c>
      <c r="B52" s="3">
        <v>45020</v>
      </c>
      <c r="C52" s="4" t="s">
        <v>62</v>
      </c>
      <c r="D52" s="4" t="s">
        <v>21</v>
      </c>
      <c r="E52" s="2" t="s">
        <v>22</v>
      </c>
      <c r="F52" s="4" t="s">
        <v>23</v>
      </c>
      <c r="G52" s="4" t="s">
        <v>71</v>
      </c>
      <c r="H52" s="4" t="s">
        <v>45</v>
      </c>
      <c r="I52" s="3">
        <v>45034</v>
      </c>
      <c r="J52" s="3">
        <v>45060</v>
      </c>
      <c r="K52" s="2">
        <v>40</v>
      </c>
      <c r="L52" s="57" t="s">
        <v>25</v>
      </c>
      <c r="M52" s="56" t="str">
        <f>TEXT(tbl_NCR_Data[[#This Row],[Date Raised]],"mmm")</f>
        <v>Apr</v>
      </c>
    </row>
    <row r="53" spans="1:13" x14ac:dyDescent="0.25">
      <c r="A53" s="36" t="s">
        <v>117</v>
      </c>
      <c r="B53" s="7">
        <v>45241</v>
      </c>
      <c r="C53" s="8" t="s">
        <v>35</v>
      </c>
      <c r="D53" s="8" t="s">
        <v>53</v>
      </c>
      <c r="E53" s="6" t="s">
        <v>22</v>
      </c>
      <c r="F53" s="8" t="s">
        <v>54</v>
      </c>
      <c r="G53" s="8" t="s">
        <v>41</v>
      </c>
      <c r="H53" s="8" t="s">
        <v>30</v>
      </c>
      <c r="I53" s="7">
        <v>45255</v>
      </c>
      <c r="J53" s="7"/>
      <c r="K53" s="6"/>
      <c r="L53" s="58" t="s">
        <v>19</v>
      </c>
      <c r="M53" s="60" t="str">
        <f>TEXT(tbl_NCR_Data[[#This Row],[Date Raised]],"mmm")</f>
        <v>Nov</v>
      </c>
    </row>
    <row r="54" spans="1:13" x14ac:dyDescent="0.25">
      <c r="A54" s="35" t="s">
        <v>118</v>
      </c>
      <c r="B54" s="3">
        <v>45076</v>
      </c>
      <c r="C54" s="4" t="s">
        <v>62</v>
      </c>
      <c r="D54" s="4" t="s">
        <v>28</v>
      </c>
      <c r="E54" s="2" t="s">
        <v>15</v>
      </c>
      <c r="F54" s="4" t="s">
        <v>33</v>
      </c>
      <c r="G54" s="4" t="s">
        <v>24</v>
      </c>
      <c r="H54" s="4" t="s">
        <v>18</v>
      </c>
      <c r="I54" s="3">
        <v>45106</v>
      </c>
      <c r="J54" s="3">
        <v>45091</v>
      </c>
      <c r="K54" s="2">
        <v>15</v>
      </c>
      <c r="L54" s="57" t="s">
        <v>25</v>
      </c>
      <c r="M54" s="56" t="str">
        <f>TEXT(tbl_NCR_Data[[#This Row],[Date Raised]],"mmm")</f>
        <v>May</v>
      </c>
    </row>
    <row r="55" spans="1:13" x14ac:dyDescent="0.25">
      <c r="A55" s="36" t="s">
        <v>119</v>
      </c>
      <c r="B55" s="7">
        <v>45006</v>
      </c>
      <c r="C55" s="8" t="s">
        <v>13</v>
      </c>
      <c r="D55" s="8" t="s">
        <v>14</v>
      </c>
      <c r="E55" s="6" t="s">
        <v>22</v>
      </c>
      <c r="F55" s="8" t="s">
        <v>120</v>
      </c>
      <c r="G55" s="8" t="s">
        <v>41</v>
      </c>
      <c r="H55" s="8" t="s">
        <v>50</v>
      </c>
      <c r="I55" s="7">
        <v>45066</v>
      </c>
      <c r="J55" s="7">
        <v>45049</v>
      </c>
      <c r="K55" s="6">
        <v>43</v>
      </c>
      <c r="L55" s="58" t="s">
        <v>25</v>
      </c>
      <c r="M55" s="60" t="str">
        <f>TEXT(tbl_NCR_Data[[#This Row],[Date Raised]],"mmm")</f>
        <v>Mar</v>
      </c>
    </row>
    <row r="56" spans="1:13" x14ac:dyDescent="0.25">
      <c r="A56" s="35" t="s">
        <v>121</v>
      </c>
      <c r="B56" s="3">
        <v>45225</v>
      </c>
      <c r="C56" s="4" t="s">
        <v>27</v>
      </c>
      <c r="D56" s="4" t="s">
        <v>28</v>
      </c>
      <c r="E56" s="2" t="s">
        <v>15</v>
      </c>
      <c r="F56" s="4" t="s">
        <v>29</v>
      </c>
      <c r="G56" s="4" t="s">
        <v>44</v>
      </c>
      <c r="H56" s="4" t="s">
        <v>18</v>
      </c>
      <c r="I56" s="3">
        <v>45239</v>
      </c>
      <c r="J56" s="3"/>
      <c r="K56" s="2"/>
      <c r="L56" s="57" t="s">
        <v>19</v>
      </c>
      <c r="M56" s="56" t="str">
        <f>TEXT(tbl_NCR_Data[[#This Row],[Date Raised]],"mmm")</f>
        <v>Oct</v>
      </c>
    </row>
    <row r="57" spans="1:13" x14ac:dyDescent="0.25">
      <c r="A57" s="36" t="s">
        <v>122</v>
      </c>
      <c r="B57" s="7">
        <v>44933</v>
      </c>
      <c r="C57" s="8" t="s">
        <v>13</v>
      </c>
      <c r="D57" s="8" t="s">
        <v>36</v>
      </c>
      <c r="E57" s="6" t="s">
        <v>22</v>
      </c>
      <c r="F57" s="8" t="s">
        <v>68</v>
      </c>
      <c r="G57" s="8" t="s">
        <v>49</v>
      </c>
      <c r="H57" s="8" t="s">
        <v>60</v>
      </c>
      <c r="I57" s="7">
        <v>44993</v>
      </c>
      <c r="J57" s="7">
        <v>44951</v>
      </c>
      <c r="K57" s="6">
        <v>18</v>
      </c>
      <c r="L57" s="58" t="s">
        <v>25</v>
      </c>
      <c r="M57" s="60" t="str">
        <f>TEXT(tbl_NCR_Data[[#This Row],[Date Raised]],"mmm")</f>
        <v>Jan</v>
      </c>
    </row>
    <row r="58" spans="1:13" x14ac:dyDescent="0.25">
      <c r="A58" s="35" t="s">
        <v>123</v>
      </c>
      <c r="B58" s="3">
        <v>44993</v>
      </c>
      <c r="C58" s="4" t="s">
        <v>52</v>
      </c>
      <c r="D58" s="4" t="s">
        <v>58</v>
      </c>
      <c r="E58" s="2" t="s">
        <v>15</v>
      </c>
      <c r="F58" s="4" t="s">
        <v>100</v>
      </c>
      <c r="G58" s="4" t="s">
        <v>44</v>
      </c>
      <c r="H58" s="4" t="s">
        <v>60</v>
      </c>
      <c r="I58" s="3">
        <v>45053</v>
      </c>
      <c r="J58" s="3"/>
      <c r="K58" s="2"/>
      <c r="L58" s="57" t="s">
        <v>31</v>
      </c>
      <c r="M58" s="56" t="str">
        <f>TEXT(tbl_NCR_Data[[#This Row],[Date Raised]],"mmm")</f>
        <v>Mar</v>
      </c>
    </row>
    <row r="59" spans="1:13" x14ac:dyDescent="0.25">
      <c r="A59" s="36" t="s">
        <v>124</v>
      </c>
      <c r="B59" s="7">
        <v>45211</v>
      </c>
      <c r="C59" s="8" t="s">
        <v>52</v>
      </c>
      <c r="D59" s="8" t="s">
        <v>58</v>
      </c>
      <c r="E59" s="6" t="s">
        <v>15</v>
      </c>
      <c r="F59" s="8" t="s">
        <v>85</v>
      </c>
      <c r="G59" s="8" t="s">
        <v>44</v>
      </c>
      <c r="H59" s="8" t="s">
        <v>45</v>
      </c>
      <c r="I59" s="7">
        <v>45225</v>
      </c>
      <c r="J59" s="7"/>
      <c r="K59" s="6"/>
      <c r="L59" s="58" t="s">
        <v>31</v>
      </c>
      <c r="M59" s="60" t="str">
        <f>TEXT(tbl_NCR_Data[[#This Row],[Date Raised]],"mmm")</f>
        <v>Oct</v>
      </c>
    </row>
    <row r="60" spans="1:13" x14ac:dyDescent="0.25">
      <c r="A60" s="35" t="s">
        <v>125</v>
      </c>
      <c r="B60" s="3">
        <v>45072</v>
      </c>
      <c r="C60" s="4" t="s">
        <v>62</v>
      </c>
      <c r="D60" s="4" t="s">
        <v>53</v>
      </c>
      <c r="E60" s="2" t="s">
        <v>15</v>
      </c>
      <c r="F60" s="4" t="s">
        <v>126</v>
      </c>
      <c r="G60" s="4" t="s">
        <v>44</v>
      </c>
      <c r="H60" s="4" t="s">
        <v>50</v>
      </c>
      <c r="I60" s="3">
        <v>45102</v>
      </c>
      <c r="J60" s="3">
        <v>45096</v>
      </c>
      <c r="K60" s="2">
        <v>24</v>
      </c>
      <c r="L60" s="57" t="s">
        <v>25</v>
      </c>
      <c r="M60" s="56" t="str">
        <f>TEXT(tbl_NCR_Data[[#This Row],[Date Raised]],"mmm")</f>
        <v>May</v>
      </c>
    </row>
    <row r="61" spans="1:13" x14ac:dyDescent="0.25">
      <c r="A61" s="36" t="s">
        <v>127</v>
      </c>
      <c r="B61" s="7">
        <v>45094</v>
      </c>
      <c r="C61" s="8" t="s">
        <v>62</v>
      </c>
      <c r="D61" s="8" t="s">
        <v>14</v>
      </c>
      <c r="E61" s="6" t="s">
        <v>56</v>
      </c>
      <c r="F61" s="8" t="s">
        <v>16</v>
      </c>
      <c r="G61" s="8" t="s">
        <v>44</v>
      </c>
      <c r="H61" s="8" t="s">
        <v>18</v>
      </c>
      <c r="I61" s="7">
        <v>45108</v>
      </c>
      <c r="J61" s="7">
        <v>45123</v>
      </c>
      <c r="K61" s="6">
        <v>29</v>
      </c>
      <c r="L61" s="58" t="s">
        <v>25</v>
      </c>
      <c r="M61" s="60" t="str">
        <f>TEXT(tbl_NCR_Data[[#This Row],[Date Raised]],"mmm")</f>
        <v>Jun</v>
      </c>
    </row>
    <row r="62" spans="1:13" x14ac:dyDescent="0.25">
      <c r="A62" s="35" t="s">
        <v>128</v>
      </c>
      <c r="B62" s="3">
        <v>45100</v>
      </c>
      <c r="C62" s="4" t="s">
        <v>62</v>
      </c>
      <c r="D62" s="4" t="s">
        <v>53</v>
      </c>
      <c r="E62" s="2" t="s">
        <v>22</v>
      </c>
      <c r="F62" s="4" t="s">
        <v>54</v>
      </c>
      <c r="G62" s="4" t="s">
        <v>44</v>
      </c>
      <c r="H62" s="4" t="s">
        <v>30</v>
      </c>
      <c r="I62" s="3">
        <v>45107</v>
      </c>
      <c r="J62" s="3"/>
      <c r="K62" s="2"/>
      <c r="L62" s="57" t="s">
        <v>31</v>
      </c>
      <c r="M62" s="56" t="str">
        <f>TEXT(tbl_NCR_Data[[#This Row],[Date Raised]],"mmm")</f>
        <v>Jun</v>
      </c>
    </row>
    <row r="63" spans="1:13" x14ac:dyDescent="0.25">
      <c r="A63" s="36" t="s">
        <v>129</v>
      </c>
      <c r="B63" s="7">
        <v>45225</v>
      </c>
      <c r="C63" s="8" t="s">
        <v>52</v>
      </c>
      <c r="D63" s="8" t="s">
        <v>53</v>
      </c>
      <c r="E63" s="6" t="s">
        <v>56</v>
      </c>
      <c r="F63" s="8" t="s">
        <v>126</v>
      </c>
      <c r="G63" s="8" t="s">
        <v>71</v>
      </c>
      <c r="H63" s="8" t="s">
        <v>30</v>
      </c>
      <c r="I63" s="7">
        <v>45285</v>
      </c>
      <c r="J63" s="7">
        <v>45262</v>
      </c>
      <c r="K63" s="6">
        <v>37</v>
      </c>
      <c r="L63" s="58" t="s">
        <v>25</v>
      </c>
      <c r="M63" s="60" t="str">
        <f>TEXT(tbl_NCR_Data[[#This Row],[Date Raised]],"mmm")</f>
        <v>Oct</v>
      </c>
    </row>
    <row r="64" spans="1:13" x14ac:dyDescent="0.25">
      <c r="A64" s="35" t="s">
        <v>130</v>
      </c>
      <c r="B64" s="3">
        <v>45239</v>
      </c>
      <c r="C64" s="4" t="s">
        <v>27</v>
      </c>
      <c r="D64" s="4" t="s">
        <v>53</v>
      </c>
      <c r="E64" s="2" t="s">
        <v>22</v>
      </c>
      <c r="F64" s="4" t="s">
        <v>76</v>
      </c>
      <c r="G64" s="4" t="s">
        <v>44</v>
      </c>
      <c r="H64" s="4" t="s">
        <v>50</v>
      </c>
      <c r="I64" s="3">
        <v>45299</v>
      </c>
      <c r="J64" s="3">
        <v>45267</v>
      </c>
      <c r="K64" s="2">
        <v>28</v>
      </c>
      <c r="L64" s="57" t="s">
        <v>25</v>
      </c>
      <c r="M64" s="56" t="str">
        <f>TEXT(tbl_NCR_Data[[#This Row],[Date Raised]],"mmm")</f>
        <v>Nov</v>
      </c>
    </row>
    <row r="65" spans="1:13" x14ac:dyDescent="0.25">
      <c r="A65" s="36" t="s">
        <v>131</v>
      </c>
      <c r="B65" s="7">
        <v>45015</v>
      </c>
      <c r="C65" s="8" t="s">
        <v>52</v>
      </c>
      <c r="D65" s="8" t="s">
        <v>58</v>
      </c>
      <c r="E65" s="6" t="s">
        <v>15</v>
      </c>
      <c r="F65" s="8" t="s">
        <v>78</v>
      </c>
      <c r="G65" s="8" t="s">
        <v>44</v>
      </c>
      <c r="H65" s="8" t="s">
        <v>60</v>
      </c>
      <c r="I65" s="7">
        <v>45022</v>
      </c>
      <c r="J65" s="7">
        <v>45045</v>
      </c>
      <c r="K65" s="6">
        <v>30</v>
      </c>
      <c r="L65" s="58" t="s">
        <v>25</v>
      </c>
      <c r="M65" s="60" t="str">
        <f>TEXT(tbl_NCR_Data[[#This Row],[Date Raised]],"mmm")</f>
        <v>Mar</v>
      </c>
    </row>
    <row r="66" spans="1:13" x14ac:dyDescent="0.25">
      <c r="A66" s="37" t="s">
        <v>132</v>
      </c>
      <c r="B66" s="38">
        <v>45000</v>
      </c>
      <c r="C66" s="39" t="s">
        <v>52</v>
      </c>
      <c r="D66" s="39" t="s">
        <v>58</v>
      </c>
      <c r="E66" s="40" t="s">
        <v>56</v>
      </c>
      <c r="F66" s="39" t="s">
        <v>85</v>
      </c>
      <c r="G66" s="39" t="s">
        <v>71</v>
      </c>
      <c r="H66" s="39" t="s">
        <v>18</v>
      </c>
      <c r="I66" s="38">
        <v>45060</v>
      </c>
      <c r="J66" s="38">
        <v>45027</v>
      </c>
      <c r="K66" s="40">
        <v>27</v>
      </c>
      <c r="L66" s="59" t="s">
        <v>25</v>
      </c>
      <c r="M66" s="56" t="str">
        <f>TEXT(tbl_NCR_Data[[#This Row],[Date Raised]],"mmm")</f>
        <v>Mar</v>
      </c>
    </row>
  </sheetData>
  <conditionalFormatting sqref="E2:E66">
    <cfRule type="cellIs" dxfId="17" priority="1" operator="equal">
      <formula>"Critical"</formula>
    </cfRule>
    <cfRule type="cellIs" dxfId="16" priority="2" operator="equal">
      <formula>"Major"</formula>
    </cfRule>
    <cfRule type="cellIs" dxfId="15" priority="3" operator="equal">
      <formula>"Minor"</formula>
    </cfRule>
  </conditionalFormatting>
  <conditionalFormatting sqref="L2:M66">
    <cfRule type="cellIs" dxfId="14" priority="4" operator="equal">
      <formula>"Overdue"</formula>
    </cfRule>
    <cfRule type="cellIs" dxfId="13" priority="5" operator="equal">
      <formula>"Open"</formula>
    </cfRule>
    <cfRule type="cellIs" dxfId="12" priority="6" operator="equal">
      <formula>"In Progress"</formula>
    </cfRule>
    <cfRule type="cellIs" dxfId="11" priority="7" operator="equal">
      <formula>"Closed"</formula>
    </cfRule>
  </conditionalFormatting>
  <dataValidations count="3">
    <dataValidation type="list" allowBlank="1" showInputMessage="1" showErrorMessage="1" sqref="D2:D12 D20:D66" xr:uid="{EF13BACC-A94A-4C92-99EC-B3A9F291D4B8}">
      <formula1>$O$2:$O$8</formula1>
    </dataValidation>
    <dataValidation type="list" allowBlank="1" showInputMessage="1" showErrorMessage="1" sqref="E2:E66" xr:uid="{CA81208C-4C10-42EA-96CF-EE80D467D8D3}">
      <formula1>$Q$2:$Q$4</formula1>
    </dataValidation>
    <dataValidation type="list" allowBlank="1" showInputMessage="1" showErrorMessage="1" sqref="L2:L66" xr:uid="{7F5C972C-A568-4C0E-9CDB-33DFA8F76D22}">
      <formula1>$S$2:$S$5</formula1>
    </dataValidation>
  </dataValidations>
  <pageMargins left="0.75" right="0.75" top="1" bottom="1" header="0.511811023622047" footer="0.511811023622047"/>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0"/>
  <sheetViews>
    <sheetView showGridLines="0" topLeftCell="A13" zoomScaleNormal="100" workbookViewId="0">
      <selection activeCell="P31" sqref="P31"/>
    </sheetView>
  </sheetViews>
  <sheetFormatPr defaultColWidth="8.7109375" defaultRowHeight="15" x14ac:dyDescent="0.25"/>
  <cols>
    <col min="1" max="1" width="22" customWidth="1"/>
    <col min="2" max="6" width="10" customWidth="1"/>
    <col min="7" max="7" width="14" customWidth="1"/>
    <col min="8" max="8" width="12" customWidth="1"/>
    <col min="10" max="10" width="18" customWidth="1"/>
    <col min="11" max="11" width="10.42578125" customWidth="1"/>
  </cols>
  <sheetData>
    <row r="1" spans="1:14" ht="33.75" customHeight="1" x14ac:dyDescent="0.25">
      <c r="A1" s="80" t="s">
        <v>133</v>
      </c>
      <c r="B1" s="80"/>
      <c r="C1" s="80"/>
      <c r="D1" s="80"/>
      <c r="E1" s="80"/>
      <c r="F1" s="80"/>
      <c r="G1" s="80"/>
      <c r="H1" s="80"/>
    </row>
    <row r="2" spans="1:14" ht="18" customHeight="1" x14ac:dyDescent="0.25">
      <c r="A2" s="81" t="s">
        <v>177</v>
      </c>
      <c r="B2" s="81"/>
      <c r="C2" s="81"/>
      <c r="D2" s="81"/>
      <c r="E2" s="81"/>
      <c r="F2" s="81"/>
      <c r="G2" s="81"/>
      <c r="H2" s="81"/>
    </row>
    <row r="3" spans="1:14" ht="19.5" customHeight="1" x14ac:dyDescent="0.25">
      <c r="A3" s="78" t="s">
        <v>134</v>
      </c>
      <c r="B3" s="78"/>
      <c r="C3" s="78"/>
      <c r="D3" s="78"/>
      <c r="E3" s="78"/>
      <c r="F3" s="78"/>
      <c r="G3" s="78"/>
      <c r="H3" s="78"/>
    </row>
    <row r="4" spans="1:14" ht="15.75" customHeight="1" x14ac:dyDescent="0.25">
      <c r="A4" s="79" t="s">
        <v>135</v>
      </c>
      <c r="B4" s="79"/>
      <c r="C4" s="79" t="s">
        <v>136</v>
      </c>
      <c r="D4" s="79"/>
      <c r="E4" s="79" t="s">
        <v>137</v>
      </c>
      <c r="F4" s="79"/>
      <c r="G4" s="79" t="s">
        <v>138</v>
      </c>
      <c r="H4" s="79"/>
    </row>
    <row r="5" spans="1:14" ht="31.5" customHeight="1" x14ac:dyDescent="0.25">
      <c r="A5" s="77">
        <f>COUNTA(tbl_NCR_Data[NCR ID])</f>
        <v>65</v>
      </c>
      <c r="B5" s="77"/>
      <c r="C5" s="77">
        <f>COUNTIF(tbl_NCR_Data[Status],"Closed")</f>
        <v>37</v>
      </c>
      <c r="D5" s="77"/>
      <c r="E5" s="77">
        <f>COUNTIF(tbl_NCR_Data[Status],"Open")</f>
        <v>14</v>
      </c>
      <c r="F5" s="77"/>
      <c r="G5" s="77">
        <f>COUNTIF(tbl_NCR_Data[Status],"Overdue")</f>
        <v>4</v>
      </c>
      <c r="H5" s="77"/>
    </row>
    <row r="6" spans="1:14" ht="14.25" customHeight="1" x14ac:dyDescent="0.25"/>
    <row r="7" spans="1:14" ht="15.75" customHeight="1" x14ac:dyDescent="0.25">
      <c r="A7" s="79" t="s">
        <v>139</v>
      </c>
      <c r="B7" s="79"/>
      <c r="C7" s="79" t="s">
        <v>140</v>
      </c>
      <c r="D7" s="79"/>
      <c r="E7" s="79" t="s">
        <v>141</v>
      </c>
      <c r="F7" s="79"/>
      <c r="G7" s="79" t="s">
        <v>31</v>
      </c>
      <c r="H7" s="79"/>
    </row>
    <row r="8" spans="1:14" ht="31.5" customHeight="1" x14ac:dyDescent="0.25">
      <c r="A8" s="75">
        <f>IFERROR(COUNTIF(tbl_NCR_Data[Status],"Closed")/COUNTA(tbl_NCR_Data[Status]),0)</f>
        <v>0.56923076923076921</v>
      </c>
      <c r="B8" s="75"/>
      <c r="C8" s="76">
        <f>AVERAGEIF(tbl_NCR_Data[Days to Close],"&gt;0",tbl_NCR_Data[Days to Close])</f>
        <v>23.342105263157894</v>
      </c>
      <c r="D8" s="76"/>
      <c r="E8" s="77">
        <f>COUNTIF(tbl_NCR_Data[Severity],"Critical")</f>
        <v>7</v>
      </c>
      <c r="F8" s="77"/>
      <c r="G8" s="77">
        <f>COUNTIF(tbl_NCR_Data[Status],"In Progress")</f>
        <v>10</v>
      </c>
      <c r="H8" s="77"/>
    </row>
    <row r="9" spans="1:14" ht="7.5" customHeight="1" x14ac:dyDescent="0.25"/>
    <row r="10" spans="1:14" ht="15.75" customHeight="1" x14ac:dyDescent="0.25">
      <c r="J10" s="32" t="s">
        <v>4</v>
      </c>
      <c r="K10" s="32" t="s">
        <v>147</v>
      </c>
      <c r="M10" s="32" t="s">
        <v>11</v>
      </c>
      <c r="N10" s="32" t="s">
        <v>147</v>
      </c>
    </row>
    <row r="11" spans="1:14" ht="19.5" customHeight="1" x14ac:dyDescent="0.25">
      <c r="A11" s="78" t="s">
        <v>142</v>
      </c>
      <c r="B11" s="78"/>
      <c r="C11" s="78"/>
      <c r="D11" s="78"/>
      <c r="E11" s="78"/>
      <c r="F11" s="78"/>
      <c r="G11" s="78"/>
      <c r="H11" s="78"/>
      <c r="J11" s="33" t="s">
        <v>56</v>
      </c>
      <c r="K11" s="34">
        <f>C20</f>
        <v>7</v>
      </c>
      <c r="M11" s="33" t="s">
        <v>25</v>
      </c>
      <c r="N11" s="34">
        <f>C5</f>
        <v>37</v>
      </c>
    </row>
    <row r="12" spans="1:14" ht="18" customHeight="1" x14ac:dyDescent="0.25">
      <c r="A12" s="1" t="s">
        <v>3</v>
      </c>
      <c r="B12" s="1" t="s">
        <v>143</v>
      </c>
      <c r="C12" s="1" t="s">
        <v>56</v>
      </c>
      <c r="D12" s="1" t="s">
        <v>22</v>
      </c>
      <c r="E12" s="1" t="s">
        <v>15</v>
      </c>
      <c r="F12" s="1" t="s">
        <v>25</v>
      </c>
      <c r="G12" s="1" t="s">
        <v>38</v>
      </c>
      <c r="H12" s="1" t="s">
        <v>139</v>
      </c>
      <c r="J12" s="33" t="s">
        <v>22</v>
      </c>
      <c r="K12" s="34">
        <f>D20</f>
        <v>35</v>
      </c>
      <c r="M12" s="33" t="s">
        <v>19</v>
      </c>
      <c r="N12" s="53">
        <f>E5</f>
        <v>14</v>
      </c>
    </row>
    <row r="13" spans="1:14" x14ac:dyDescent="0.25">
      <c r="A13" s="13" t="s">
        <v>14</v>
      </c>
      <c r="B13" s="2">
        <f>COUNTIF(tbl_NCR_Data[System Category],$A13)</f>
        <v>7</v>
      </c>
      <c r="C13" s="10">
        <f>COUNTIFS(tbl_NCR_Data[System Category],$A13,tbl_NCR_Data[Severity],C$12)</f>
        <v>2</v>
      </c>
      <c r="D13" s="9">
        <f>COUNTIFS(tbl_NCR_Data[System Category],$A13,tbl_NCR_Data[Severity],D$12)</f>
        <v>1</v>
      </c>
      <c r="E13" s="11">
        <f>COUNTIFS(tbl_NCR_Data[System Category],$A13,tbl_NCR_Data[Severity],E$12)</f>
        <v>4</v>
      </c>
      <c r="F13" s="14">
        <f>COUNTIFS(tbl_NCR_Data[System Category],$A13,tbl_NCR_Data[Status],F$12)</f>
        <v>5</v>
      </c>
      <c r="G13" s="10">
        <f>COUNTIFS(tbl_NCR_Data[System Category],$A13,tbl_NCR_Data[Status],G$12)</f>
        <v>0</v>
      </c>
      <c r="H13" s="15">
        <f>IFERROR(COUNTIFS(tbl_NCR_Data[System Category],$A13,tbl_NCR_Data[Status],"Closed")/COUNTIF(tbl_NCR_Data[System Category],$A13),0)</f>
        <v>0.7142857142857143</v>
      </c>
      <c r="J13" s="33" t="s">
        <v>15</v>
      </c>
      <c r="K13" s="34">
        <f>E20</f>
        <v>23</v>
      </c>
      <c r="M13" s="33" t="s">
        <v>31</v>
      </c>
      <c r="N13" s="34">
        <f>G8</f>
        <v>10</v>
      </c>
    </row>
    <row r="14" spans="1:14" x14ac:dyDescent="0.25">
      <c r="A14" s="16" t="s">
        <v>58</v>
      </c>
      <c r="B14" s="21">
        <f>COUNTIF(tbl_NCR_Data[System Category],$A14)</f>
        <v>11</v>
      </c>
      <c r="C14" s="45">
        <f>COUNTIFS(tbl_NCR_Data[System Category],$A14,tbl_NCR_Data[Severity],C$12)</f>
        <v>1</v>
      </c>
      <c r="D14" s="50">
        <f>COUNTIFS(tbl_NCR_Data[System Category],$A14,tbl_NCR_Data[Severity],D$12)</f>
        <v>2</v>
      </c>
      <c r="E14" s="51">
        <f>COUNTIFS(tbl_NCR_Data[System Category],$A14,tbl_NCR_Data[Severity],E$12)</f>
        <v>8</v>
      </c>
      <c r="F14" s="6">
        <f>COUNTIFS(tbl_NCR_Data[System Category],$A14,tbl_NCR_Data[Status],F$12)</f>
        <v>7</v>
      </c>
      <c r="G14" s="52">
        <f>COUNTIFS(tbl_NCR_Data[System Category],$A14,tbl_NCR_Data[Status],G$12)</f>
        <v>1</v>
      </c>
      <c r="H14" s="47">
        <f>IFERROR(COUNTIFS(tbl_NCR_Data[System Category],$A14,tbl_NCR_Data[Status],"Closed")/COUNTIF(tbl_NCR_Data[System Category],$A14),0)</f>
        <v>0.63636363636363635</v>
      </c>
      <c r="M14" s="33" t="s">
        <v>38</v>
      </c>
      <c r="N14" s="34">
        <f>G5</f>
        <v>4</v>
      </c>
    </row>
    <row r="15" spans="1:14" x14ac:dyDescent="0.25">
      <c r="A15" s="13" t="s">
        <v>47</v>
      </c>
      <c r="B15" s="2">
        <f>COUNTIF(tbl_NCR_Data[System Category],$A15)</f>
        <v>8</v>
      </c>
      <c r="C15" s="10">
        <f>COUNTIFS(tbl_NCR_Data[System Category],$A15,tbl_NCR_Data[Severity],C$12)</f>
        <v>2</v>
      </c>
      <c r="D15" s="9">
        <f>COUNTIFS(tbl_NCR_Data[System Category],$A15,tbl_NCR_Data[Severity],D$12)</f>
        <v>6</v>
      </c>
      <c r="E15" s="11">
        <f>COUNTIFS(tbl_NCR_Data[System Category],$A15,tbl_NCR_Data[Severity],E$12)</f>
        <v>0</v>
      </c>
      <c r="F15" s="14">
        <f>COUNTIFS(tbl_NCR_Data[System Category],$A15,tbl_NCR_Data[Status],F$12)</f>
        <v>5</v>
      </c>
      <c r="G15" s="10">
        <f>COUNTIFS(tbl_NCR_Data[System Category],$A15,tbl_NCR_Data[Status],G$12)</f>
        <v>0</v>
      </c>
      <c r="H15" s="15">
        <f>IFERROR(COUNTIFS(tbl_NCR_Data[System Category],$A15,tbl_NCR_Data[Status],"Closed")/COUNTIF(tbl_NCR_Data[System Category],$A15),0)</f>
        <v>0.625</v>
      </c>
      <c r="J15" s="32" t="s">
        <v>7</v>
      </c>
      <c r="K15" s="32" t="s">
        <v>176</v>
      </c>
    </row>
    <row r="16" spans="1:14" x14ac:dyDescent="0.25">
      <c r="A16" s="16" t="s">
        <v>53</v>
      </c>
      <c r="B16" s="21">
        <f>COUNTIF(tbl_NCR_Data[System Category],$A16)</f>
        <v>12</v>
      </c>
      <c r="C16" s="45">
        <f>COUNTIFS(tbl_NCR_Data[System Category],$A16,tbl_NCR_Data[Severity],C$12)</f>
        <v>1</v>
      </c>
      <c r="D16" s="50">
        <f>COUNTIFS(tbl_NCR_Data[System Category],$A16,tbl_NCR_Data[Severity],D$12)</f>
        <v>9</v>
      </c>
      <c r="E16" s="51">
        <f>COUNTIFS(tbl_NCR_Data[System Category],$A16,tbl_NCR_Data[Severity],E$12)</f>
        <v>2</v>
      </c>
      <c r="F16" s="46">
        <f>COUNTIFS(tbl_NCR_Data[System Category],$A16,tbl_NCR_Data[Status],F$12)</f>
        <v>9</v>
      </c>
      <c r="G16" s="52">
        <f>COUNTIFS(tbl_NCR_Data[System Category],$A16,tbl_NCR_Data[Status],G$12)</f>
        <v>0</v>
      </c>
      <c r="H16" s="47">
        <f>IFERROR(COUNTIFS(tbl_NCR_Data[System Category],$A16,tbl_NCR_Data[Status],"Closed")/COUNTIF(tbl_NCR_Data[System Category],$A16),0)</f>
        <v>0.75</v>
      </c>
      <c r="J16" s="33" t="str" cm="1">
        <f t="array" ref="J16:J20">_xlfn.UNIQUE(tbl_NCR_Data[Assigned Dept])</f>
        <v>Deck</v>
      </c>
      <c r="K16" s="34" cm="1">
        <f t="array" ref="K16:K20">COUNTIF(tbl_NCR_Data[Assigned Dept],_xlfn.ANCHORARRAY( J16))</f>
        <v>14</v>
      </c>
    </row>
    <row r="17" spans="1:11" x14ac:dyDescent="0.25">
      <c r="A17" s="13" t="s">
        <v>21</v>
      </c>
      <c r="B17" s="2">
        <f>COUNTIF(tbl_NCR_Data[System Category],$A17)</f>
        <v>8</v>
      </c>
      <c r="C17" s="10">
        <f>COUNTIFS(tbl_NCR_Data[System Category],$A17,tbl_NCR_Data[Severity],C$12)</f>
        <v>0</v>
      </c>
      <c r="D17" s="9">
        <f>COUNTIFS(tbl_NCR_Data[System Category],$A17,tbl_NCR_Data[Severity],D$12)</f>
        <v>6</v>
      </c>
      <c r="E17" s="11">
        <f>COUNTIFS(tbl_NCR_Data[System Category],$A17,tbl_NCR_Data[Severity],E$12)</f>
        <v>2</v>
      </c>
      <c r="F17" s="14">
        <f>COUNTIFS(tbl_NCR_Data[System Category],$A17,tbl_NCR_Data[Status],F$12)</f>
        <v>3</v>
      </c>
      <c r="G17" s="10">
        <f>COUNTIFS(tbl_NCR_Data[System Category],$A17,tbl_NCR_Data[Status],G$12)</f>
        <v>0</v>
      </c>
      <c r="H17" s="15">
        <f>IFERROR(COUNTIFS(tbl_NCR_Data[System Category],$A17,tbl_NCR_Data[Status],"Closed")/COUNTIF(tbl_NCR_Data[System Category],$A17),0)</f>
        <v>0.375</v>
      </c>
      <c r="J17" s="33" t="str">
        <v>External Contractor</v>
      </c>
      <c r="K17" s="34">
        <v>11</v>
      </c>
    </row>
    <row r="18" spans="1:11" x14ac:dyDescent="0.25">
      <c r="A18" s="16" t="s">
        <v>28</v>
      </c>
      <c r="B18" s="21">
        <f>COUNTIF(tbl_NCR_Data[System Category],$A18)</f>
        <v>10</v>
      </c>
      <c r="C18" s="45">
        <f>COUNTIFS(tbl_NCR_Data[System Category],$A18,tbl_NCR_Data[Severity],C$12)</f>
        <v>0</v>
      </c>
      <c r="D18" s="50">
        <f>COUNTIFS(tbl_NCR_Data[System Category],$A18,tbl_NCR_Data[Severity],D$12)</f>
        <v>6</v>
      </c>
      <c r="E18" s="51">
        <f>COUNTIFS(tbl_NCR_Data[System Category],$A18,tbl_NCR_Data[Severity],E$12)</f>
        <v>4</v>
      </c>
      <c r="F18" s="46">
        <f>COUNTIFS(tbl_NCR_Data[System Category],$A18,tbl_NCR_Data[Status],F$12)</f>
        <v>4</v>
      </c>
      <c r="G18" s="52">
        <f>COUNTIFS(tbl_NCR_Data[System Category],$A18,tbl_NCR_Data[Status],G$12)</f>
        <v>1</v>
      </c>
      <c r="H18" s="47">
        <f>IFERROR(COUNTIFS(tbl_NCR_Data[System Category],$A18,tbl_NCR_Data[Status],"Closed")/COUNTIF(tbl_NCR_Data[System Category],$A18),0)</f>
        <v>0.4</v>
      </c>
      <c r="J18" s="33" t="str">
        <v>Shore Management</v>
      </c>
      <c r="K18" s="34">
        <v>12</v>
      </c>
    </row>
    <row r="19" spans="1:11" x14ac:dyDescent="0.25">
      <c r="A19" s="13" t="s">
        <v>36</v>
      </c>
      <c r="B19" s="2">
        <f>COUNTIF(tbl_NCR_Data[System Category],$A19)</f>
        <v>9</v>
      </c>
      <c r="C19" s="10">
        <f>COUNTIFS(tbl_NCR_Data[System Category],$A19,tbl_NCR_Data[Severity],C$12)</f>
        <v>1</v>
      </c>
      <c r="D19" s="9">
        <f>COUNTIFS(tbl_NCR_Data[System Category],$A19,tbl_NCR_Data[Severity],D$12)</f>
        <v>5</v>
      </c>
      <c r="E19" s="11">
        <f>COUNTIFS(tbl_NCR_Data[System Category],$A19,tbl_NCR_Data[Severity],E$12)</f>
        <v>3</v>
      </c>
      <c r="F19" s="14">
        <f>COUNTIFS(tbl_NCR_Data[System Category],$A19,tbl_NCR_Data[Status],F$12)</f>
        <v>4</v>
      </c>
      <c r="G19" s="10">
        <f>COUNTIFS(tbl_NCR_Data[System Category],$A19,tbl_NCR_Data[Status],G$12)</f>
        <v>2</v>
      </c>
      <c r="H19" s="15">
        <f>IFERROR(COUNTIFS(tbl_NCR_Data[System Category],$A19,tbl_NCR_Data[Status],"Closed")/COUNTIF(tbl_NCR_Data[System Category],$A19),0)</f>
        <v>0.44444444444444442</v>
      </c>
      <c r="J19" s="33" t="str">
        <v>Engineering</v>
      </c>
      <c r="K19" s="34">
        <v>12</v>
      </c>
    </row>
    <row r="20" spans="1:11" ht="18" customHeight="1" x14ac:dyDescent="0.25">
      <c r="A20" s="1" t="s">
        <v>144</v>
      </c>
      <c r="B20" s="1">
        <f t="shared" ref="B20:G20" si="0">SUM(B13:B19)</f>
        <v>65</v>
      </c>
      <c r="C20" s="1">
        <f t="shared" si="0"/>
        <v>7</v>
      </c>
      <c r="D20" s="1">
        <f t="shared" si="0"/>
        <v>35</v>
      </c>
      <c r="E20" s="1">
        <f t="shared" si="0"/>
        <v>23</v>
      </c>
      <c r="F20" s="1">
        <f t="shared" si="0"/>
        <v>37</v>
      </c>
      <c r="G20" s="1">
        <f t="shared" si="0"/>
        <v>4</v>
      </c>
      <c r="H20" s="17">
        <f>IFERROR(F20/B20,0)</f>
        <v>0.56923076923076921</v>
      </c>
      <c r="J20" s="33" t="str">
        <v>Catering</v>
      </c>
      <c r="K20" s="34">
        <v>16</v>
      </c>
    </row>
  </sheetData>
  <mergeCells count="20">
    <mergeCell ref="A1:H1"/>
    <mergeCell ref="A2:H2"/>
    <mergeCell ref="A3:H3"/>
    <mergeCell ref="A4:B4"/>
    <mergeCell ref="C4:D4"/>
    <mergeCell ref="E4:F4"/>
    <mergeCell ref="G4:H4"/>
    <mergeCell ref="A5:B5"/>
    <mergeCell ref="C5:D5"/>
    <mergeCell ref="E5:F5"/>
    <mergeCell ref="G5:H5"/>
    <mergeCell ref="A7:B7"/>
    <mergeCell ref="C7:D7"/>
    <mergeCell ref="E7:F7"/>
    <mergeCell ref="G7:H7"/>
    <mergeCell ref="A8:B8"/>
    <mergeCell ref="C8:D8"/>
    <mergeCell ref="E8:F8"/>
    <mergeCell ref="G8:H8"/>
    <mergeCell ref="A11:H11"/>
  </mergeCells>
  <conditionalFormatting sqref="F14">
    <cfRule type="cellIs" dxfId="10" priority="1" operator="equal">
      <formula>"Overdue"</formula>
    </cfRule>
    <cfRule type="cellIs" dxfId="9" priority="2" operator="equal">
      <formula>"Open"</formula>
    </cfRule>
    <cfRule type="cellIs" dxfId="8" priority="3" operator="equal">
      <formula>"In Progress"</formula>
    </cfRule>
    <cfRule type="cellIs" dxfId="7" priority="4" operator="equal">
      <formula>"Closed"</formula>
    </cfRule>
  </conditionalFormatting>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
  <sheetViews>
    <sheetView showGridLines="0" tabSelected="1" zoomScaleNormal="100" workbookViewId="0">
      <selection activeCell="R20" sqref="R20"/>
    </sheetView>
  </sheetViews>
  <sheetFormatPr defaultColWidth="8.7109375" defaultRowHeight="15" x14ac:dyDescent="0.25"/>
  <cols>
    <col min="1" max="1" width="10" customWidth="1"/>
    <col min="2" max="4" width="12" customWidth="1"/>
    <col min="6" max="6" width="24" customWidth="1"/>
    <col min="7" max="7" width="10" customWidth="1"/>
  </cols>
  <sheetData>
    <row r="1" spans="1:14" ht="31.5" customHeight="1" x14ac:dyDescent="0.25">
      <c r="A1" s="80" t="s">
        <v>145</v>
      </c>
      <c r="B1" s="80"/>
      <c r="C1" s="80"/>
      <c r="D1" s="80"/>
      <c r="E1" s="80"/>
      <c r="F1" s="80"/>
      <c r="G1" s="80"/>
      <c r="H1" s="80"/>
      <c r="I1" s="80"/>
      <c r="J1" s="80"/>
      <c r="K1" s="80"/>
      <c r="L1" s="80"/>
      <c r="M1" s="80"/>
      <c r="N1" s="80"/>
    </row>
    <row r="3" spans="1:14" ht="18" customHeight="1" x14ac:dyDescent="0.25">
      <c r="A3" s="1" t="s">
        <v>146</v>
      </c>
      <c r="B3" s="1" t="s">
        <v>143</v>
      </c>
      <c r="C3" s="1" t="s">
        <v>56</v>
      </c>
      <c r="D3" s="1" t="s">
        <v>25</v>
      </c>
      <c r="F3" s="1" t="s">
        <v>6</v>
      </c>
      <c r="G3" s="1" t="s">
        <v>147</v>
      </c>
    </row>
    <row r="4" spans="1:14" x14ac:dyDescent="0.25">
      <c r="A4" s="5" t="s">
        <v>148</v>
      </c>
      <c r="B4" s="2">
        <f>COUNTIF(tbl_NCR_Data[Month],$A4)</f>
        <v>4</v>
      </c>
      <c r="C4" s="10">
        <f>COUNTIFS(tbl_NCR_Data[Month],$A4,tbl_NCR_Data[Severity],C$3)</f>
        <v>0</v>
      </c>
      <c r="D4" s="14">
        <f>COUNTIFS(tbl_NCR_Data[Month],$A4,tbl_NCR_Data[Status],D$3)</f>
        <v>3</v>
      </c>
      <c r="F4" s="4" t="s">
        <v>24</v>
      </c>
      <c r="G4" s="2">
        <f>COUNTIF(tbl_NCR_Data[Root Cause Category],$F4)</f>
        <v>11</v>
      </c>
    </row>
    <row r="5" spans="1:14" x14ac:dyDescent="0.25">
      <c r="A5" s="12" t="s">
        <v>149</v>
      </c>
      <c r="B5" s="54">
        <f>COUNTIF(tbl_NCR_Data[Month],$A5)</f>
        <v>4</v>
      </c>
      <c r="C5" s="52">
        <f>COUNTIFS(tbl_NCR_Data[Month],$A5,tbl_NCR_Data[Severity],C$3)</f>
        <v>1</v>
      </c>
      <c r="D5" s="55">
        <f>COUNTIFS(tbl_NCR_Data[Month],$A5,tbl_NCR_Data[Status],D$3)</f>
        <v>1</v>
      </c>
      <c r="F5" s="8" t="s">
        <v>17</v>
      </c>
      <c r="G5" s="54">
        <f>COUNTIF(tbl_NCR_Data[Root Cause Category],$F5)</f>
        <v>13</v>
      </c>
    </row>
    <row r="6" spans="1:14" x14ac:dyDescent="0.25">
      <c r="A6" s="5" t="s">
        <v>150</v>
      </c>
      <c r="B6" s="2">
        <f>COUNTIF(tbl_NCR_Data[Month],$A6)</f>
        <v>9</v>
      </c>
      <c r="C6" s="10">
        <f>COUNTIFS(tbl_NCR_Data[Month],$A6,tbl_NCR_Data[Severity],C$3)</f>
        <v>1</v>
      </c>
      <c r="D6" s="14">
        <f>COUNTIFS(tbl_NCR_Data[Month],$A6,tbl_NCR_Data[Status],D$3)</f>
        <v>6</v>
      </c>
      <c r="F6" s="4" t="s">
        <v>71</v>
      </c>
      <c r="G6" s="2">
        <f>COUNTIF(tbl_NCR_Data[Root Cause Category],$F6)</f>
        <v>8</v>
      </c>
    </row>
    <row r="7" spans="1:14" x14ac:dyDescent="0.25">
      <c r="A7" s="12" t="s">
        <v>151</v>
      </c>
      <c r="B7" s="54">
        <f>COUNTIF(tbl_NCR_Data[Month],$A7)</f>
        <v>4</v>
      </c>
      <c r="C7" s="52">
        <f>COUNTIFS(tbl_NCR_Data[Month],$A7,tbl_NCR_Data[Severity],C$3)</f>
        <v>0</v>
      </c>
      <c r="D7" s="55">
        <f>COUNTIFS(tbl_NCR_Data[Month],$A7,tbl_NCR_Data[Status],D$3)</f>
        <v>2</v>
      </c>
      <c r="F7" s="8" t="s">
        <v>44</v>
      </c>
      <c r="G7" s="54">
        <f>COUNTIF(tbl_NCR_Data[Root Cause Category],$F7)</f>
        <v>13</v>
      </c>
    </row>
    <row r="8" spans="1:14" x14ac:dyDescent="0.25">
      <c r="A8" s="5" t="s">
        <v>152</v>
      </c>
      <c r="B8" s="2">
        <f>COUNTIF(tbl_NCR_Data[Month],$A8)</f>
        <v>5</v>
      </c>
      <c r="C8" s="10">
        <f>COUNTIFS(tbl_NCR_Data[Month],$A8,tbl_NCR_Data[Severity],C$3)</f>
        <v>0</v>
      </c>
      <c r="D8" s="14">
        <f>COUNTIFS(tbl_NCR_Data[Month],$A8,tbl_NCR_Data[Status],D$3)</f>
        <v>4</v>
      </c>
      <c r="F8" s="4" t="s">
        <v>41</v>
      </c>
      <c r="G8" s="2">
        <f>COUNTIF(tbl_NCR_Data[Root Cause Category],$F8)</f>
        <v>11</v>
      </c>
    </row>
    <row r="9" spans="1:14" x14ac:dyDescent="0.25">
      <c r="A9" s="12" t="s">
        <v>153</v>
      </c>
      <c r="B9" s="54">
        <f>COUNTIF(tbl_NCR_Data[Month],$A9)</f>
        <v>9</v>
      </c>
      <c r="C9" s="52">
        <f>COUNTIFS(tbl_NCR_Data[Month],$A9,tbl_NCR_Data[Severity],C$3)</f>
        <v>2</v>
      </c>
      <c r="D9" s="55">
        <f>COUNTIFS(tbl_NCR_Data[Month],$A9,tbl_NCR_Data[Status],D$3)</f>
        <v>3</v>
      </c>
      <c r="F9" s="8" t="s">
        <v>49</v>
      </c>
      <c r="G9" s="54">
        <f>COUNTIF(tbl_NCR_Data[Root Cause Category],$F9)</f>
        <v>9</v>
      </c>
    </row>
    <row r="10" spans="1:14" x14ac:dyDescent="0.25">
      <c r="A10" s="5" t="s">
        <v>154</v>
      </c>
      <c r="B10" s="2">
        <f>COUNTIF(tbl_NCR_Data[Month],$A10)</f>
        <v>5</v>
      </c>
      <c r="C10" s="10">
        <f>COUNTIFS(tbl_NCR_Data[Month],$A10,tbl_NCR_Data[Severity],C$3)</f>
        <v>0</v>
      </c>
      <c r="D10" s="14">
        <f>COUNTIFS(tbl_NCR_Data[Month],$A10,tbl_NCR_Data[Status],D$3)</f>
        <v>4</v>
      </c>
    </row>
    <row r="11" spans="1:14" x14ac:dyDescent="0.25">
      <c r="A11" s="12" t="s">
        <v>155</v>
      </c>
      <c r="B11" s="54">
        <f>COUNTIF(tbl_NCR_Data[Month],$A11)</f>
        <v>3</v>
      </c>
      <c r="C11" s="52">
        <f>COUNTIFS(tbl_NCR_Data[Month],$A11,tbl_NCR_Data[Severity],C$3)</f>
        <v>0</v>
      </c>
      <c r="D11" s="55">
        <f>COUNTIFS(tbl_NCR_Data[Month],$A11,tbl_NCR_Data[Status],D$3)</f>
        <v>2</v>
      </c>
    </row>
    <row r="12" spans="1:14" x14ac:dyDescent="0.25">
      <c r="A12" s="5" t="s">
        <v>156</v>
      </c>
      <c r="B12" s="2">
        <f>COUNTIF(tbl_NCR_Data[Month],$A12)</f>
        <v>2</v>
      </c>
      <c r="C12" s="10">
        <f>COUNTIFS(tbl_NCR_Data[Month],$A12,tbl_NCR_Data[Severity],C$3)</f>
        <v>0</v>
      </c>
      <c r="D12" s="14">
        <f>COUNTIFS(tbl_NCR_Data[Month],$A12,tbl_NCR_Data[Status],D$3)</f>
        <v>2</v>
      </c>
    </row>
    <row r="13" spans="1:14" x14ac:dyDescent="0.25">
      <c r="A13" s="12" t="s">
        <v>157</v>
      </c>
      <c r="B13" s="54">
        <f>COUNTIF(tbl_NCR_Data[Month],$A13)</f>
        <v>11</v>
      </c>
      <c r="C13" s="52">
        <f>COUNTIFS(tbl_NCR_Data[Month],$A13,tbl_NCR_Data[Severity],C$3)</f>
        <v>2</v>
      </c>
      <c r="D13" s="55">
        <f>COUNTIFS(tbl_NCR_Data[Month],$A13,tbl_NCR_Data[Status],D$3)</f>
        <v>5</v>
      </c>
    </row>
    <row r="14" spans="1:14" x14ac:dyDescent="0.25">
      <c r="A14" s="5" t="s">
        <v>158</v>
      </c>
      <c r="B14" s="2">
        <f>COUNTIF(tbl_NCR_Data[Month],$A14)</f>
        <v>7</v>
      </c>
      <c r="C14" s="10">
        <f>COUNTIFS(tbl_NCR_Data[Month],$A14,tbl_NCR_Data[Severity],C$3)</f>
        <v>1</v>
      </c>
      <c r="D14" s="14">
        <f>COUNTIFS(tbl_NCR_Data[Month],$A14,tbl_NCR_Data[Status],D$3)</f>
        <v>4</v>
      </c>
    </row>
    <row r="15" spans="1:14" x14ac:dyDescent="0.25">
      <c r="A15" s="12" t="s">
        <v>159</v>
      </c>
      <c r="B15" s="54">
        <f>COUNTIF(tbl_NCR_Data[Month],$A15)</f>
        <v>2</v>
      </c>
      <c r="C15" s="52">
        <f>COUNTIFS(tbl_NCR_Data[Month],$A15,tbl_NCR_Data[Severity],C$3)</f>
        <v>0</v>
      </c>
      <c r="D15" s="55">
        <f>COUNTIFS(tbl_NCR_Data[Month],$A15,tbl_NCR_Data[Status],D$3)</f>
        <v>1</v>
      </c>
    </row>
  </sheetData>
  <mergeCells count="1">
    <mergeCell ref="A1:N1"/>
  </mergeCell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3"/>
  <sheetViews>
    <sheetView showGridLines="0" zoomScaleNormal="100" workbookViewId="0">
      <selection activeCell="I11" sqref="I11"/>
    </sheetView>
  </sheetViews>
  <sheetFormatPr defaultColWidth="8.7109375" defaultRowHeight="15" x14ac:dyDescent="0.25"/>
  <cols>
    <col min="1" max="1" width="14" customWidth="1"/>
    <col min="2" max="2" width="18" customWidth="1"/>
    <col min="3" max="3" width="20" customWidth="1"/>
    <col min="4" max="4" width="12" customWidth="1"/>
    <col min="5" max="5" width="46" customWidth="1"/>
    <col min="6" max="6" width="14" customWidth="1"/>
    <col min="7" max="7" width="13" customWidth="1"/>
    <col min="9" max="9" width="19.85546875" customWidth="1"/>
    <col min="10" max="10" width="19.140625" customWidth="1"/>
    <col min="11" max="11" width="21.140625" customWidth="1"/>
  </cols>
  <sheetData>
    <row r="1" spans="1:11" ht="27.75" customHeight="1" x14ac:dyDescent="0.25">
      <c r="A1" s="73" t="s">
        <v>160</v>
      </c>
      <c r="B1" s="73"/>
      <c r="C1" s="73"/>
      <c r="D1" s="73"/>
      <c r="E1" s="73"/>
      <c r="F1" s="73"/>
      <c r="G1" s="73"/>
    </row>
    <row r="2" spans="1:11" ht="15.75" customHeight="1" x14ac:dyDescent="0.25">
      <c r="A2" s="74" t="s">
        <v>165</v>
      </c>
      <c r="B2" s="74"/>
      <c r="C2" s="74"/>
      <c r="D2" s="74"/>
      <c r="E2" s="74"/>
      <c r="F2" s="74"/>
      <c r="G2" s="74"/>
    </row>
    <row r="3" spans="1:11" ht="19.5" customHeight="1" x14ac:dyDescent="0.25">
      <c r="A3" s="18" t="s">
        <v>0</v>
      </c>
      <c r="B3" s="18" t="s">
        <v>2</v>
      </c>
      <c r="C3" s="18" t="s">
        <v>161</v>
      </c>
      <c r="D3" s="18" t="s">
        <v>4</v>
      </c>
      <c r="E3" s="18" t="s">
        <v>5</v>
      </c>
      <c r="F3" s="18" t="s">
        <v>8</v>
      </c>
      <c r="G3" s="18" t="s">
        <v>11</v>
      </c>
    </row>
    <row r="4" spans="1:11" x14ac:dyDescent="0.25">
      <c r="A4" s="22" t="str" cm="1">
        <f t="array" ref="A4:A31">_xlfn.SORTBY(_xlfn._xlws.FILTER(tbl_NCR_Data[NCR ID],(tbl_NCR_Data[Status]="Open")+(tbl_NCR_Data[Status]="In Progress")+(tbl_NCR_Data[Status]="Overdue")),_xlfn._xlws.FILTER(tbl_NCR_Data[Target Date],(tbl_NCR_Data[Status]="Open")+(tbl_NCR_Data[Status]="In Progress")+(tbl_NCR_Data[Status]="Overdue")))</f>
        <v>NCR-2023-026</v>
      </c>
      <c r="B4" s="4" t="str">
        <f>IF($A4="","",_xlfn.XLOOKUP($A4,tbl_NCR_Data[NCR ID],tbl_NCR_Data[Vessel]))</f>
        <v>MV Flinterborg</v>
      </c>
      <c r="C4" s="4" t="str">
        <f>IF($A4="","",_xlfn.XLOOKUP($A4,tbl_NCR_Data[NCR ID],tbl_NCR_Data[System Category]))</f>
        <v>Structural</v>
      </c>
      <c r="D4" s="2" t="str">
        <f>IF($A4="","",_xlfn.XLOOKUP($A4,tbl_NCR_Data[NCR ID],tbl_NCR_Data[Severity]))</f>
        <v>Minor</v>
      </c>
      <c r="E4" s="4" t="str">
        <f>IF($A4="","",_xlfn.XLOOKUP($A4,tbl_NCR_Data[NCR ID],tbl_NCR_Data[Description]))</f>
        <v>Deck coating deterioration</v>
      </c>
      <c r="F4" s="3">
        <f>IF($A4="","",_xlfn.XLOOKUP($A4,tbl_NCR_Data[NCR ID],tbl_NCR_Data[Target Date]))</f>
        <v>44976</v>
      </c>
      <c r="G4" s="2" t="str">
        <f>IF($A4="","",_xlfn.XLOOKUP($A4,tbl_NCR_Data[NCR ID],tbl_NCR_Data[Status]))</f>
        <v>Overdue</v>
      </c>
      <c r="I4" s="72"/>
      <c r="J4" s="72"/>
      <c r="K4" s="72"/>
    </row>
    <row r="5" spans="1:11" x14ac:dyDescent="0.25">
      <c r="A5" s="23" t="str">
        <v>NCR-2023-018</v>
      </c>
      <c r="B5" s="48" t="str">
        <f>IF($A5="","",_xlfn.XLOOKUP($A5,tbl_NCR_Data[NCR ID],tbl_NCR_Data[Vessel]))</f>
        <v>MV Stellamare</v>
      </c>
      <c r="C5" s="48" t="str">
        <f>IF($A5="","",_xlfn.XLOOKUP($A5,tbl_NCR_Data[NCR ID],tbl_NCR_Data[System Category]))</f>
        <v>Machinery</v>
      </c>
      <c r="D5" s="54" t="str">
        <f>IF($A5="","",_xlfn.XLOOKUP($A5,tbl_NCR_Data[NCR ID],tbl_NCR_Data[Severity]))</f>
        <v>Major</v>
      </c>
      <c r="E5" s="48" t="str">
        <f>IF($A5="","",_xlfn.XLOOKUP($A5,tbl_NCR_Data[NCR ID],tbl_NCR_Data[Description]))</f>
        <v>Main engine turbocharger surge</v>
      </c>
      <c r="F5" s="49">
        <f>IF($A5="","",_xlfn.XLOOKUP($A5,tbl_NCR_Data[NCR ID],tbl_NCR_Data[Target Date]))</f>
        <v>44985</v>
      </c>
      <c r="G5" s="54" t="str">
        <f>IF($A5="","",_xlfn.XLOOKUP($A5,tbl_NCR_Data[NCR ID],tbl_NCR_Data[Status]))</f>
        <v>Open</v>
      </c>
    </row>
    <row r="6" spans="1:11" x14ac:dyDescent="0.25">
      <c r="A6" s="22" t="str">
        <v>NCR-2023-005</v>
      </c>
      <c r="B6" s="4" t="str">
        <f>IF($A6="","",_xlfn.XLOOKUP($A6,tbl_NCR_Data[NCR ID],tbl_NCR_Data[Vessel]))</f>
        <v>MV Frisian Summer</v>
      </c>
      <c r="C6" s="4" t="str">
        <f>IF($A6="","",_xlfn.XLOOKUP($A6,tbl_NCR_Data[NCR ID],tbl_NCR_Data[System Category]))</f>
        <v>Structural</v>
      </c>
      <c r="D6" s="2" t="str">
        <f>IF($A6="","",_xlfn.XLOOKUP($A6,tbl_NCR_Data[NCR ID],tbl_NCR_Data[Severity]))</f>
        <v>Major</v>
      </c>
      <c r="E6" s="4" t="str">
        <f>IF($A6="","",_xlfn.XLOOKUP($A6,tbl_NCR_Data[NCR ID],tbl_NCR_Data[Description]))</f>
        <v>Accommodation ladder net torn</v>
      </c>
      <c r="F6" s="3">
        <f>IF($A6="","",_xlfn.XLOOKUP($A6,tbl_NCR_Data[NCR ID],tbl_NCR_Data[Target Date]))</f>
        <v>44987</v>
      </c>
      <c r="G6" s="2" t="str">
        <f>IF($A6="","",_xlfn.XLOOKUP($A6,tbl_NCR_Data[NCR ID],tbl_NCR_Data[Status]))</f>
        <v>In Progress</v>
      </c>
    </row>
    <row r="7" spans="1:11" x14ac:dyDescent="0.25">
      <c r="A7" s="23" t="str">
        <v>NCR-2023-038</v>
      </c>
      <c r="B7" s="48" t="str">
        <f>IF($A7="","",_xlfn.XLOOKUP($A7,tbl_NCR_Data[NCR ID],tbl_NCR_Data[Vessel]))</f>
        <v>MV Stellamare</v>
      </c>
      <c r="C7" s="48" t="str">
        <f>IF($A7="","",_xlfn.XLOOKUP($A7,tbl_NCR_Data[NCR ID],tbl_NCR_Data[System Category]))</f>
        <v>Machinery</v>
      </c>
      <c r="D7" s="54" t="str">
        <f>IF($A7="","",_xlfn.XLOOKUP($A7,tbl_NCR_Data[NCR ID],tbl_NCR_Data[Severity]))</f>
        <v>Major</v>
      </c>
      <c r="E7" s="48" t="str">
        <f>IF($A7="","",_xlfn.XLOOKUP($A7,tbl_NCR_Data[NCR ID],tbl_NCR_Data[Description]))</f>
        <v>F/O separator alarm fault</v>
      </c>
      <c r="F7" s="49">
        <f>IF($A7="","",_xlfn.XLOOKUP($A7,tbl_NCR_Data[NCR ID],tbl_NCR_Data[Target Date]))</f>
        <v>44987</v>
      </c>
      <c r="G7" s="54" t="str">
        <f>IF($A7="","",_xlfn.XLOOKUP($A7,tbl_NCR_Data[NCR ID],tbl_NCR_Data[Status]))</f>
        <v>In Progress</v>
      </c>
    </row>
    <row r="8" spans="1:11" x14ac:dyDescent="0.25">
      <c r="A8" s="22" t="str">
        <v>NCR-2023-030</v>
      </c>
      <c r="B8" s="4" t="str">
        <f>IF($A8="","",_xlfn.XLOOKUP($A8,tbl_NCR_Data[NCR ID],tbl_NCR_Data[Vessel]))</f>
        <v>MV Stellamare</v>
      </c>
      <c r="C8" s="4" t="str">
        <f>IF($A8="","",_xlfn.XLOOKUP($A8,tbl_NCR_Data[NCR ID],tbl_NCR_Data[System Category]))</f>
        <v>Cargo Equipment</v>
      </c>
      <c r="D8" s="2" t="str">
        <f>IF($A8="","",_xlfn.XLOOKUP($A8,tbl_NCR_Data[NCR ID],tbl_NCR_Data[Severity]))</f>
        <v>Minor</v>
      </c>
      <c r="E8" s="4" t="str">
        <f>IF($A8="","",_xlfn.XLOOKUP($A8,tbl_NCR_Data[NCR ID],tbl_NCR_Data[Description]))</f>
        <v>Hatch cover seal damaged</v>
      </c>
      <c r="F8" s="3">
        <f>IF($A8="","",_xlfn.XLOOKUP($A8,tbl_NCR_Data[NCR ID],tbl_NCR_Data[Target Date]))</f>
        <v>45018</v>
      </c>
      <c r="G8" s="2" t="str">
        <f>IF($A8="","",_xlfn.XLOOKUP($A8,tbl_NCR_Data[NCR ID],tbl_NCR_Data[Status]))</f>
        <v>Open</v>
      </c>
    </row>
    <row r="9" spans="1:11" x14ac:dyDescent="0.25">
      <c r="A9" s="23" t="str">
        <v>NCR-2023-042</v>
      </c>
      <c r="B9" s="48" t="str">
        <f>IF($A9="","",_xlfn.XLOOKUP($A9,tbl_NCR_Data[NCR ID],tbl_NCR_Data[Vessel]))</f>
        <v>MV Trent</v>
      </c>
      <c r="C9" s="48" t="str">
        <f>IF($A9="","",_xlfn.XLOOKUP($A9,tbl_NCR_Data[NCR ID],tbl_NCR_Data[System Category]))</f>
        <v>Structural</v>
      </c>
      <c r="D9" s="54" t="str">
        <f>IF($A9="","",_xlfn.XLOOKUP($A9,tbl_NCR_Data[NCR ID],tbl_NCR_Data[Severity]))</f>
        <v>Major</v>
      </c>
      <c r="E9" s="48" t="str">
        <f>IF($A9="","",_xlfn.XLOOKUP($A9,tbl_NCR_Data[NCR ID],tbl_NCR_Data[Description]))</f>
        <v>Handrail corroded at Fr.42</v>
      </c>
      <c r="F9" s="49">
        <f>IF($A9="","",_xlfn.XLOOKUP($A9,tbl_NCR_Data[NCR ID],tbl_NCR_Data[Target Date]))</f>
        <v>45024</v>
      </c>
      <c r="G9" s="54" t="str">
        <f>IF($A9="","",_xlfn.XLOOKUP($A9,tbl_NCR_Data[NCR ID],tbl_NCR_Data[Status]))</f>
        <v>Open</v>
      </c>
    </row>
    <row r="10" spans="1:11" x14ac:dyDescent="0.25">
      <c r="A10" s="22" t="str">
        <v>NCR-2023-057</v>
      </c>
      <c r="B10" s="4" t="str">
        <f>IF($A10="","",_xlfn.XLOOKUP($A10,tbl_NCR_Data[NCR ID],tbl_NCR_Data[Vessel]))</f>
        <v>MV Flinterborg</v>
      </c>
      <c r="C10" s="4" t="str">
        <f>IF($A10="","",_xlfn.XLOOKUP($A10,tbl_NCR_Data[NCR ID],tbl_NCR_Data[System Category]))</f>
        <v>Electrical</v>
      </c>
      <c r="D10" s="2" t="str">
        <f>IF($A10="","",_xlfn.XLOOKUP($A10,tbl_NCR_Data[NCR ID],tbl_NCR_Data[Severity]))</f>
        <v>Minor</v>
      </c>
      <c r="E10" s="4" t="str">
        <f>IF($A10="","",_xlfn.XLOOKUP($A10,tbl_NCR_Data[NCR ID],tbl_NCR_Data[Description]))</f>
        <v>Shore power connection fault</v>
      </c>
      <c r="F10" s="3">
        <f>IF($A10="","",_xlfn.XLOOKUP($A10,tbl_NCR_Data[NCR ID],tbl_NCR_Data[Target Date]))</f>
        <v>45053</v>
      </c>
      <c r="G10" s="2" t="str">
        <f>IF($A10="","",_xlfn.XLOOKUP($A10,tbl_NCR_Data[NCR ID],tbl_NCR_Data[Status]))</f>
        <v>In Progress</v>
      </c>
    </row>
    <row r="11" spans="1:11" x14ac:dyDescent="0.25">
      <c r="A11" s="23" t="str">
        <v>NCR-2023-031</v>
      </c>
      <c r="B11" s="48" t="str">
        <f>IF($A11="","",_xlfn.XLOOKUP($A11,tbl_NCR_Data[NCR ID],tbl_NCR_Data[Vessel]))</f>
        <v>MV Flinterborg</v>
      </c>
      <c r="C11" s="48" t="str">
        <f>IF($A11="","",_xlfn.XLOOKUP($A11,tbl_NCR_Data[NCR ID],tbl_NCR_Data[System Category]))</f>
        <v>HVAC</v>
      </c>
      <c r="D11" s="54" t="str">
        <f>IF($A11="","",_xlfn.XLOOKUP($A11,tbl_NCR_Data[NCR ID],tbl_NCR_Data[Severity]))</f>
        <v>Minor</v>
      </c>
      <c r="E11" s="48" t="str">
        <f>IF($A11="","",_xlfn.XLOOKUP($A11,tbl_NCR_Data[NCR ID],tbl_NCR_Data[Description]))</f>
        <v>Ventilation fan belt worn</v>
      </c>
      <c r="F11" s="49">
        <f>IF($A11="","",_xlfn.XLOOKUP($A11,tbl_NCR_Data[NCR ID],tbl_NCR_Data[Target Date]))</f>
        <v>45058</v>
      </c>
      <c r="G11" s="54" t="str">
        <f>IF($A11="","",_xlfn.XLOOKUP($A11,tbl_NCR_Data[NCR ID],tbl_NCR_Data[Status]))</f>
        <v>Open</v>
      </c>
    </row>
    <row r="12" spans="1:11" x14ac:dyDescent="0.25">
      <c r="A12" s="22" t="str">
        <v>NCR-2023-037</v>
      </c>
      <c r="B12" s="4" t="str">
        <f>IF($A12="","",_xlfn.XLOOKUP($A12,tbl_NCR_Data[NCR ID],tbl_NCR_Data[Vessel]))</f>
        <v>MV Frisian Summer</v>
      </c>
      <c r="C12" s="4" t="str">
        <f>IF($A12="","",_xlfn.XLOOKUP($A12,tbl_NCR_Data[NCR ID],tbl_NCR_Data[System Category]))</f>
        <v>Electrical</v>
      </c>
      <c r="D12" s="2" t="str">
        <f>IF($A12="","",_xlfn.XLOOKUP($A12,tbl_NCR_Data[NCR ID],tbl_NCR_Data[Severity]))</f>
        <v>Minor</v>
      </c>
      <c r="E12" s="4" t="str">
        <f>IF($A12="","",_xlfn.XLOOKUP($A12,tbl_NCR_Data[NCR ID],tbl_NCR_Data[Description]))</f>
        <v>Shore power connection fault</v>
      </c>
      <c r="F12" s="3">
        <f>IF($A12="","",_xlfn.XLOOKUP($A12,tbl_NCR_Data[NCR ID],tbl_NCR_Data[Target Date]))</f>
        <v>45068</v>
      </c>
      <c r="G12" s="2" t="str">
        <f>IF($A12="","",_xlfn.XLOOKUP($A12,tbl_NCR_Data[NCR ID],tbl_NCR_Data[Status]))</f>
        <v>Overdue</v>
      </c>
    </row>
    <row r="13" spans="1:11" x14ac:dyDescent="0.25">
      <c r="A13" s="23" t="str">
        <v>NCR-2023-045</v>
      </c>
      <c r="B13" s="48" t="str">
        <f>IF($A13="","",_xlfn.XLOOKUP($A13,tbl_NCR_Data[NCR ID],tbl_NCR_Data[Vessel]))</f>
        <v>MV Flinterborg</v>
      </c>
      <c r="C13" s="48" t="str">
        <f>IF($A13="","",_xlfn.XLOOKUP($A13,tbl_NCR_Data[NCR ID],tbl_NCR_Data[System Category]))</f>
        <v>Navigation Equip.</v>
      </c>
      <c r="D13" s="54" t="str">
        <f>IF($A13="","",_xlfn.XLOOKUP($A13,tbl_NCR_Data[NCR ID],tbl_NCR_Data[Severity]))</f>
        <v>Major</v>
      </c>
      <c r="E13" s="48" t="str">
        <f>IF($A13="","",_xlfn.XLOOKUP($A13,tbl_NCR_Data[NCR ID],tbl_NCR_Data[Description]))</f>
        <v>Radar antenna bearing worn</v>
      </c>
      <c r="F13" s="49">
        <f>IF($A13="","",_xlfn.XLOOKUP($A13,tbl_NCR_Data[NCR ID],tbl_NCR_Data[Target Date]))</f>
        <v>45089</v>
      </c>
      <c r="G13" s="54" t="str">
        <f>IF($A13="","",_xlfn.XLOOKUP($A13,tbl_NCR_Data[NCR ID],tbl_NCR_Data[Status]))</f>
        <v>Open</v>
      </c>
    </row>
    <row r="14" spans="1:11" x14ac:dyDescent="0.25">
      <c r="A14" s="22" t="str">
        <v>NCR-2023-061</v>
      </c>
      <c r="B14" s="4" t="str">
        <f>IF($A14="","",_xlfn.XLOOKUP($A14,tbl_NCR_Data[NCR ID],tbl_NCR_Data[Vessel]))</f>
        <v>MV Calypso</v>
      </c>
      <c r="C14" s="4" t="str">
        <f>IF($A14="","",_xlfn.XLOOKUP($A14,tbl_NCR_Data[NCR ID],tbl_NCR_Data[System Category]))</f>
        <v>Safety Equipment</v>
      </c>
      <c r="D14" s="2" t="str">
        <f>IF($A14="","",_xlfn.XLOOKUP($A14,tbl_NCR_Data[NCR ID],tbl_NCR_Data[Severity]))</f>
        <v>Major</v>
      </c>
      <c r="E14" s="4" t="str">
        <f>IF($A14="","",_xlfn.XLOOKUP($A14,tbl_NCR_Data[NCR ID],tbl_NCR_Data[Description]))</f>
        <v>Fire extinguisher pressure low</v>
      </c>
      <c r="F14" s="3">
        <f>IF($A14="","",_xlfn.XLOOKUP($A14,tbl_NCR_Data[NCR ID],tbl_NCR_Data[Target Date]))</f>
        <v>45107</v>
      </c>
      <c r="G14" s="2" t="str">
        <f>IF($A14="","",_xlfn.XLOOKUP($A14,tbl_NCR_Data[NCR ID],tbl_NCR_Data[Status]))</f>
        <v>In Progress</v>
      </c>
    </row>
    <row r="15" spans="1:11" x14ac:dyDescent="0.25">
      <c r="A15" s="23" t="str">
        <v>NCR-2023-022</v>
      </c>
      <c r="B15" s="48" t="str">
        <f>IF($A15="","",_xlfn.XLOOKUP($A15,tbl_NCR_Data[NCR ID],tbl_NCR_Data[Vessel]))</f>
        <v>MV Stellamare</v>
      </c>
      <c r="C15" s="48" t="str">
        <f>IF($A15="","",_xlfn.XLOOKUP($A15,tbl_NCR_Data[NCR ID],tbl_NCR_Data[System Category]))</f>
        <v>Cargo Equipment</v>
      </c>
      <c r="D15" s="54" t="str">
        <f>IF($A15="","",_xlfn.XLOOKUP($A15,tbl_NCR_Data[NCR ID],tbl_NCR_Data[Severity]))</f>
        <v>Major</v>
      </c>
      <c r="E15" s="48" t="str">
        <f>IF($A15="","",_xlfn.XLOOKUP($A15,tbl_NCR_Data[NCR ID],tbl_NCR_Data[Description]))</f>
        <v>Derrick block sheave worn</v>
      </c>
      <c r="F15" s="49">
        <f>IF($A15="","",_xlfn.XLOOKUP($A15,tbl_NCR_Data[NCR ID],tbl_NCR_Data[Target Date]))</f>
        <v>45114</v>
      </c>
      <c r="G15" s="54" t="str">
        <f>IF($A15="","",_xlfn.XLOOKUP($A15,tbl_NCR_Data[NCR ID],tbl_NCR_Data[Status]))</f>
        <v>Open</v>
      </c>
    </row>
    <row r="16" spans="1:11" x14ac:dyDescent="0.25">
      <c r="A16" s="22" t="str">
        <v>NCR-2023-035</v>
      </c>
      <c r="B16" s="4" t="str">
        <f>IF($A16="","",_xlfn.XLOOKUP($A16,tbl_NCR_Data[NCR ID],tbl_NCR_Data[Vessel]))</f>
        <v>MV Calypso</v>
      </c>
      <c r="C16" s="4" t="str">
        <f>IF($A16="","",_xlfn.XLOOKUP($A16,tbl_NCR_Data[NCR ID],tbl_NCR_Data[System Category]))</f>
        <v>Structural</v>
      </c>
      <c r="D16" s="2" t="str">
        <f>IF($A16="","",_xlfn.XLOOKUP($A16,tbl_NCR_Data[NCR ID],tbl_NCR_Data[Severity]))</f>
        <v>Minor</v>
      </c>
      <c r="E16" s="4" t="str">
        <f>IF($A16="","",_xlfn.XLOOKUP($A16,tbl_NCR_Data[NCR ID],tbl_NCR_Data[Description]))</f>
        <v>Deck coating deterioration</v>
      </c>
      <c r="F16" s="3">
        <f>IF($A16="","",_xlfn.XLOOKUP($A16,tbl_NCR_Data[NCR ID],tbl_NCR_Data[Target Date]))</f>
        <v>45115</v>
      </c>
      <c r="G16" s="2" t="str">
        <f>IF($A16="","",_xlfn.XLOOKUP($A16,tbl_NCR_Data[NCR ID],tbl_NCR_Data[Status]))</f>
        <v>Overdue</v>
      </c>
    </row>
    <row r="17" spans="1:7" x14ac:dyDescent="0.25">
      <c r="A17" s="23" t="str">
        <v>NCR-2023-007</v>
      </c>
      <c r="B17" s="48" t="str">
        <f>IF($A17="","",_xlfn.XLOOKUP($A17,tbl_NCR_Data[NCR ID],tbl_NCR_Data[Vessel]))</f>
        <v>MV Stellamare</v>
      </c>
      <c r="C17" s="48" t="str">
        <f>IF($A17="","",_xlfn.XLOOKUP($A17,tbl_NCR_Data[NCR ID],tbl_NCR_Data[System Category]))</f>
        <v>Structural</v>
      </c>
      <c r="D17" s="54" t="str">
        <f>IF($A17="","",_xlfn.XLOOKUP($A17,tbl_NCR_Data[NCR ID],tbl_NCR_Data[Severity]))</f>
        <v>Major</v>
      </c>
      <c r="E17" s="48" t="str">
        <f>IF($A17="","",_xlfn.XLOOKUP($A17,tbl_NCR_Data[NCR ID],tbl_NCR_Data[Description]))</f>
        <v>Deck coating deterioration</v>
      </c>
      <c r="F17" s="49">
        <f>IF($A17="","",_xlfn.XLOOKUP($A17,tbl_NCR_Data[NCR ID],tbl_NCR_Data[Target Date]))</f>
        <v>45139</v>
      </c>
      <c r="G17" s="54" t="str">
        <f>IF($A17="","",_xlfn.XLOOKUP($A17,tbl_NCR_Data[NCR ID],tbl_NCR_Data[Status]))</f>
        <v>Open</v>
      </c>
    </row>
    <row r="18" spans="1:7" x14ac:dyDescent="0.25">
      <c r="A18" s="22" t="str">
        <v>NCR-2023-010</v>
      </c>
      <c r="B18" s="4" t="str">
        <f>IF($A18="","",_xlfn.XLOOKUP($A18,tbl_NCR_Data[NCR ID],tbl_NCR_Data[Vessel]))</f>
        <v>MV Flinterborg</v>
      </c>
      <c r="C18" s="4" t="str">
        <f>IF($A18="","",_xlfn.XLOOKUP($A18,tbl_NCR_Data[NCR ID],tbl_NCR_Data[System Category]))</f>
        <v>Navigation Equip.</v>
      </c>
      <c r="D18" s="2" t="str">
        <f>IF($A18="","",_xlfn.XLOOKUP($A18,tbl_NCR_Data[NCR ID],tbl_NCR_Data[Severity]))</f>
        <v>Critical</v>
      </c>
      <c r="E18" s="4" t="str">
        <f>IF($A18="","",_xlfn.XLOOKUP($A18,tbl_NCR_Data[NCR ID],tbl_NCR_Data[Description]))</f>
        <v>AIS transponder dropout</v>
      </c>
      <c r="F18" s="3">
        <f>IF($A18="","",_xlfn.XLOOKUP($A18,tbl_NCR_Data[NCR ID],tbl_NCR_Data[Target Date]))</f>
        <v>45152</v>
      </c>
      <c r="G18" s="2" t="str">
        <f>IF($A18="","",_xlfn.XLOOKUP($A18,tbl_NCR_Data[NCR ID],tbl_NCR_Data[Status]))</f>
        <v>In Progress</v>
      </c>
    </row>
    <row r="19" spans="1:7" x14ac:dyDescent="0.25">
      <c r="A19" s="24" t="str">
        <v>NCR-2023-012</v>
      </c>
      <c r="B19" s="48" t="str">
        <f>IF($A19="","",_xlfn.XLOOKUP($A19,tbl_NCR_Data[NCR ID],tbl_NCR_Data[Vessel]))</f>
        <v>MV Calypso</v>
      </c>
      <c r="C19" s="48" t="str">
        <f>IF($A19="","",_xlfn.XLOOKUP($A19,tbl_NCR_Data[NCR ID],tbl_NCR_Data[System Category]))</f>
        <v>Safety Equipment</v>
      </c>
      <c r="D19" s="54" t="str">
        <f>IF($A19="","",_xlfn.XLOOKUP($A19,tbl_NCR_Data[NCR ID],tbl_NCR_Data[Severity]))</f>
        <v>Major</v>
      </c>
      <c r="E19" s="48" t="str">
        <f>IF($A19="","",_xlfn.XLOOKUP($A19,tbl_NCR_Data[NCR ID],tbl_NCR_Data[Description]))</f>
        <v>Fire extinguisher pressure low</v>
      </c>
      <c r="F19" s="49">
        <f>IF($A19="","",_xlfn.XLOOKUP($A19,tbl_NCR_Data[NCR ID],tbl_NCR_Data[Target Date]))</f>
        <v>45157</v>
      </c>
      <c r="G19" s="54" t="str">
        <f>IF($A19="","",_xlfn.XLOOKUP($A19,tbl_NCR_Data[NCR ID],tbl_NCR_Data[Status]))</f>
        <v>In Progress</v>
      </c>
    </row>
    <row r="20" spans="1:7" x14ac:dyDescent="0.25">
      <c r="A20" s="25" t="str">
        <v>NCR-2023-050</v>
      </c>
      <c r="B20" s="4" t="str">
        <f>IF($A20="","",_xlfn.XLOOKUP($A20,tbl_NCR_Data[NCR ID],tbl_NCR_Data[Vessel]))</f>
        <v>MV Flinterborg</v>
      </c>
      <c r="C20" s="4" t="str">
        <f>IF($A20="","",_xlfn.XLOOKUP($A20,tbl_NCR_Data[NCR ID],tbl_NCR_Data[System Category]))</f>
        <v>Machinery</v>
      </c>
      <c r="D20" s="2" t="str">
        <f>IF($A20="","",_xlfn.XLOOKUP($A20,tbl_NCR_Data[NCR ID],tbl_NCR_Data[Severity]))</f>
        <v>Major</v>
      </c>
      <c r="E20" s="4" t="str">
        <f>IF($A20="","",_xlfn.XLOOKUP($A20,tbl_NCR_Data[NCR ID],tbl_NCR_Data[Description]))</f>
        <v>Bilge pump non-operational</v>
      </c>
      <c r="F20" s="3">
        <f>IF($A20="","",_xlfn.XLOOKUP($A20,tbl_NCR_Data[NCR ID],tbl_NCR_Data[Target Date]))</f>
        <v>45158</v>
      </c>
      <c r="G20" s="2" t="str">
        <f>IF($A20="","",_xlfn.XLOOKUP($A20,tbl_NCR_Data[NCR ID],tbl_NCR_Data[Status]))</f>
        <v>Open</v>
      </c>
    </row>
    <row r="21" spans="1:7" x14ac:dyDescent="0.25">
      <c r="A21" s="24" t="str">
        <v>NCR-2023-041</v>
      </c>
      <c r="B21" s="48" t="str">
        <f>IF($A21="","",_xlfn.XLOOKUP($A21,tbl_NCR_Data[NCR ID],tbl_NCR_Data[Vessel]))</f>
        <v>MV Trent</v>
      </c>
      <c r="C21" s="48" t="str">
        <f>IF($A21="","",_xlfn.XLOOKUP($A21,tbl_NCR_Data[NCR ID],tbl_NCR_Data[System Category]))</f>
        <v>Machinery</v>
      </c>
      <c r="D21" s="54" t="str">
        <f>IF($A21="","",_xlfn.XLOOKUP($A21,tbl_NCR_Data[NCR ID],tbl_NCR_Data[Severity]))</f>
        <v>Major</v>
      </c>
      <c r="E21" s="48" t="str">
        <f>IF($A21="","",_xlfn.XLOOKUP($A21,tbl_NCR_Data[NCR ID],tbl_NCR_Data[Description]))</f>
        <v>Main engine turbocharger surge</v>
      </c>
      <c r="F21" s="49">
        <f>IF($A21="","",_xlfn.XLOOKUP($A21,tbl_NCR_Data[NCR ID],tbl_NCR_Data[Target Date]))</f>
        <v>45174</v>
      </c>
      <c r="G21" s="54" t="str">
        <f>IF($A21="","",_xlfn.XLOOKUP($A21,tbl_NCR_Data[NCR ID],tbl_NCR_Data[Status]))</f>
        <v>Overdue</v>
      </c>
    </row>
    <row r="22" spans="1:7" x14ac:dyDescent="0.25">
      <c r="A22" s="25" t="str">
        <v>NCR-2023-002</v>
      </c>
      <c r="B22" s="4" t="str">
        <f>IF($A22="","",_xlfn.XLOOKUP($A22,tbl_NCR_Data[NCR ID],tbl_NCR_Data[Vessel]))</f>
        <v>MV Stellamare</v>
      </c>
      <c r="C22" s="4" t="str">
        <f>IF($A22="","",_xlfn.XLOOKUP($A22,tbl_NCR_Data[NCR ID],tbl_NCR_Data[System Category]))</f>
        <v>Cargo Equipment</v>
      </c>
      <c r="D22" s="2" t="str">
        <f>IF($A22="","",_xlfn.XLOOKUP($A22,tbl_NCR_Data[NCR ID],tbl_NCR_Data[Severity]))</f>
        <v>Major</v>
      </c>
      <c r="E22" s="4" t="str">
        <f>IF($A22="","",_xlfn.XLOOKUP($A22,tbl_NCR_Data[NCR ID],tbl_NCR_Data[Description]))</f>
        <v>Crane wire certification expired</v>
      </c>
      <c r="F22" s="3">
        <f>IF($A22="","",_xlfn.XLOOKUP($A22,tbl_NCR_Data[NCR ID],tbl_NCR_Data[Target Date]))</f>
        <v>45224</v>
      </c>
      <c r="G22" s="2" t="str">
        <f>IF($A22="","",_xlfn.XLOOKUP($A22,tbl_NCR_Data[NCR ID],tbl_NCR_Data[Status]))</f>
        <v>In Progress</v>
      </c>
    </row>
    <row r="23" spans="1:7" x14ac:dyDescent="0.25">
      <c r="A23" s="24" t="str">
        <v>NCR-2023-058</v>
      </c>
      <c r="B23" s="48" t="str">
        <f>IF($A23="","",_xlfn.XLOOKUP($A23,tbl_NCR_Data[NCR ID],tbl_NCR_Data[Vessel]))</f>
        <v>MV Flinterborg</v>
      </c>
      <c r="C23" s="48" t="str">
        <f>IF($A23="","",_xlfn.XLOOKUP($A23,tbl_NCR_Data[NCR ID],tbl_NCR_Data[System Category]))</f>
        <v>Electrical</v>
      </c>
      <c r="D23" s="54" t="str">
        <f>IF($A23="","",_xlfn.XLOOKUP($A23,tbl_NCR_Data[NCR ID],tbl_NCR_Data[Severity]))</f>
        <v>Minor</v>
      </c>
      <c r="E23" s="48" t="str">
        <f>IF($A23="","",_xlfn.XLOOKUP($A23,tbl_NCR_Data[NCR ID],tbl_NCR_Data[Description]))</f>
        <v>Battery bank below threshold</v>
      </c>
      <c r="F23" s="49">
        <f>IF($A23="","",_xlfn.XLOOKUP($A23,tbl_NCR_Data[NCR ID],tbl_NCR_Data[Target Date]))</f>
        <v>45225</v>
      </c>
      <c r="G23" s="54" t="str">
        <f>IF($A23="","",_xlfn.XLOOKUP($A23,tbl_NCR_Data[NCR ID],tbl_NCR_Data[Status]))</f>
        <v>In Progress</v>
      </c>
    </row>
    <row r="24" spans="1:7" x14ac:dyDescent="0.25">
      <c r="A24" s="25" t="str">
        <v>NCR-2023-019</v>
      </c>
      <c r="B24" s="4" t="str">
        <f>IF($A24="","",_xlfn.XLOOKUP($A24,tbl_NCR_Data[NCR ID],tbl_NCR_Data[Vessel]))</f>
        <v>MV Trent</v>
      </c>
      <c r="C24" s="4" t="str">
        <f>IF($A24="","",_xlfn.XLOOKUP($A24,tbl_NCR_Data[NCR ID],tbl_NCR_Data[System Category]))</f>
        <v>Navigation Equip.</v>
      </c>
      <c r="D24" s="2" t="str">
        <f>IF($A24="","",_xlfn.XLOOKUP($A24,tbl_NCR_Data[NCR ID],tbl_NCR_Data[Severity]))</f>
        <v>Major</v>
      </c>
      <c r="E24" s="4" t="str">
        <f>IF($A24="","",_xlfn.XLOOKUP($A24,tbl_NCR_Data[NCR ID],tbl_NCR_Data[Description]))</f>
        <v>Gyrocompass deviation exceeds spec</v>
      </c>
      <c r="F24" s="3">
        <f>IF($A24="","",_xlfn.XLOOKUP($A24,tbl_NCR_Data[NCR ID],tbl_NCR_Data[Target Date]))</f>
        <v>45226</v>
      </c>
      <c r="G24" s="2" t="str">
        <f>IF($A24="","",_xlfn.XLOOKUP($A24,tbl_NCR_Data[NCR ID],tbl_NCR_Data[Status]))</f>
        <v>Open</v>
      </c>
    </row>
    <row r="25" spans="1:7" x14ac:dyDescent="0.25">
      <c r="A25" s="24" t="str">
        <v>NCR-2023-014</v>
      </c>
      <c r="B25" s="48" t="str">
        <f>IF($A25="","",_xlfn.XLOOKUP($A25,tbl_NCR_Data[NCR ID],tbl_NCR_Data[Vessel]))</f>
        <v>MV Frisian Summer</v>
      </c>
      <c r="C25" s="48" t="str">
        <f>IF($A25="","",_xlfn.XLOOKUP($A25,tbl_NCR_Data[NCR ID],tbl_NCR_Data[System Category]))</f>
        <v>Cargo Equipment</v>
      </c>
      <c r="D25" s="54" t="str">
        <f>IF($A25="","",_xlfn.XLOOKUP($A25,tbl_NCR_Data[NCR ID],tbl_NCR_Data[Severity]))</f>
        <v>Minor</v>
      </c>
      <c r="E25" s="48" t="str">
        <f>IF($A25="","",_xlfn.XLOOKUP($A25,tbl_NCR_Data[NCR ID],tbl_NCR_Data[Description]))</f>
        <v>Crane wire certification expired</v>
      </c>
      <c r="F25" s="49">
        <f>IF($A25="","",_xlfn.XLOOKUP($A25,tbl_NCR_Data[NCR ID],tbl_NCR_Data[Target Date]))</f>
        <v>45231</v>
      </c>
      <c r="G25" s="54" t="str">
        <f>IF($A25="","",_xlfn.XLOOKUP($A25,tbl_NCR_Data[NCR ID],tbl_NCR_Data[Status]))</f>
        <v>In Progress</v>
      </c>
    </row>
    <row r="26" spans="1:7" x14ac:dyDescent="0.25">
      <c r="A26" s="25" t="str">
        <v>NCR-2023-055</v>
      </c>
      <c r="B26" s="4" t="str">
        <f>IF($A26="","",_xlfn.XLOOKUP($A26,tbl_NCR_Data[NCR ID],tbl_NCR_Data[Vessel]))</f>
        <v>MV Trent</v>
      </c>
      <c r="C26" s="4" t="str">
        <f>IF($A26="","",_xlfn.XLOOKUP($A26,tbl_NCR_Data[NCR ID],tbl_NCR_Data[System Category]))</f>
        <v>Machinery</v>
      </c>
      <c r="D26" s="2" t="str">
        <f>IF($A26="","",_xlfn.XLOOKUP($A26,tbl_NCR_Data[NCR ID],tbl_NCR_Data[Severity]))</f>
        <v>Minor</v>
      </c>
      <c r="E26" s="4" t="str">
        <f>IF($A26="","",_xlfn.XLOOKUP($A26,tbl_NCR_Data[NCR ID],tbl_NCR_Data[Description]))</f>
        <v>Aux engine governor hunting</v>
      </c>
      <c r="F26" s="3">
        <f>IF($A26="","",_xlfn.XLOOKUP($A26,tbl_NCR_Data[NCR ID],tbl_NCR_Data[Target Date]))</f>
        <v>45239</v>
      </c>
      <c r="G26" s="2" t="str">
        <f>IF($A26="","",_xlfn.XLOOKUP($A26,tbl_NCR_Data[NCR ID],tbl_NCR_Data[Status]))</f>
        <v>Open</v>
      </c>
    </row>
    <row r="27" spans="1:7" x14ac:dyDescent="0.25">
      <c r="A27" s="24" t="str">
        <v>NCR-2023-003</v>
      </c>
      <c r="B27" s="48" t="str">
        <f>IF($A27="","",_xlfn.XLOOKUP($A27,tbl_NCR_Data[NCR ID],tbl_NCR_Data[Vessel]))</f>
        <v>MV Trent</v>
      </c>
      <c r="C27" s="48" t="str">
        <f>IF($A27="","",_xlfn.XLOOKUP($A27,tbl_NCR_Data[NCR ID],tbl_NCR_Data[System Category]))</f>
        <v>Machinery</v>
      </c>
      <c r="D27" s="54" t="str">
        <f>IF($A27="","",_xlfn.XLOOKUP($A27,tbl_NCR_Data[NCR ID],tbl_NCR_Data[Severity]))</f>
        <v>Minor</v>
      </c>
      <c r="E27" s="48" t="str">
        <f>IF($A27="","",_xlfn.XLOOKUP($A27,tbl_NCR_Data[NCR ID],tbl_NCR_Data[Description]))</f>
        <v>Aux engine governor hunting</v>
      </c>
      <c r="F27" s="49">
        <f>IF($A27="","",_xlfn.XLOOKUP($A27,tbl_NCR_Data[NCR ID],tbl_NCR_Data[Target Date]))</f>
        <v>45248</v>
      </c>
      <c r="G27" s="54" t="str">
        <f>IF($A27="","",_xlfn.XLOOKUP($A27,tbl_NCR_Data[NCR ID],tbl_NCR_Data[Status]))</f>
        <v>In Progress</v>
      </c>
    </row>
    <row r="28" spans="1:7" x14ac:dyDescent="0.25">
      <c r="A28" s="25" t="str">
        <v>NCR-2023-052</v>
      </c>
      <c r="B28" s="4" t="str">
        <f>IF($A28="","",_xlfn.XLOOKUP($A28,tbl_NCR_Data[NCR ID],tbl_NCR_Data[Vessel]))</f>
        <v>MV Frisian Summer</v>
      </c>
      <c r="C28" s="4" t="str">
        <f>IF($A28="","",_xlfn.XLOOKUP($A28,tbl_NCR_Data[NCR ID],tbl_NCR_Data[System Category]))</f>
        <v>Safety Equipment</v>
      </c>
      <c r="D28" s="2" t="str">
        <f>IF($A28="","",_xlfn.XLOOKUP($A28,tbl_NCR_Data[NCR ID],tbl_NCR_Data[Severity]))</f>
        <v>Major</v>
      </c>
      <c r="E28" s="4" t="str">
        <f>IF($A28="","",_xlfn.XLOOKUP($A28,tbl_NCR_Data[NCR ID],tbl_NCR_Data[Description]))</f>
        <v>Fire extinguisher pressure low</v>
      </c>
      <c r="F28" s="3">
        <f>IF($A28="","",_xlfn.XLOOKUP($A28,tbl_NCR_Data[NCR ID],tbl_NCR_Data[Target Date]))</f>
        <v>45255</v>
      </c>
      <c r="G28" s="2" t="str">
        <f>IF($A28="","",_xlfn.XLOOKUP($A28,tbl_NCR_Data[NCR ID],tbl_NCR_Data[Status]))</f>
        <v>Open</v>
      </c>
    </row>
    <row r="29" spans="1:7" x14ac:dyDescent="0.25">
      <c r="A29" s="24" t="str">
        <v>NCR-2023-001</v>
      </c>
      <c r="B29" s="48" t="str">
        <f>IF($A29="","",_xlfn.XLOOKUP($A29,tbl_NCR_Data[NCR ID],tbl_NCR_Data[Vessel]))</f>
        <v>MV Stellamare</v>
      </c>
      <c r="C29" s="48" t="str">
        <f>IF($A29="","",_xlfn.XLOOKUP($A29,tbl_NCR_Data[NCR ID],tbl_NCR_Data[System Category]))</f>
        <v>HVAC</v>
      </c>
      <c r="D29" s="54" t="str">
        <f>IF($A29="","",_xlfn.XLOOKUP($A29,tbl_NCR_Data[NCR ID],tbl_NCR_Data[Severity]))</f>
        <v>Minor</v>
      </c>
      <c r="E29" s="48" t="str">
        <f>IF($A29="","",_xlfn.XLOOKUP($A29,tbl_NCR_Data[NCR ID],tbl_NCR_Data[Description]))</f>
        <v>Ventilation fan belt worn</v>
      </c>
      <c r="F29" s="49">
        <f>IF($A29="","",_xlfn.XLOOKUP($A29,tbl_NCR_Data[NCR ID],tbl_NCR_Data[Target Date]))</f>
        <v>45265</v>
      </c>
      <c r="G29" s="54" t="str">
        <f>IF($A29="","",_xlfn.XLOOKUP($A29,tbl_NCR_Data[NCR ID],tbl_NCR_Data[Status]))</f>
        <v>Open</v>
      </c>
    </row>
    <row r="30" spans="1:7" x14ac:dyDescent="0.25">
      <c r="A30" s="25" t="str">
        <v>NCR-2023-011</v>
      </c>
      <c r="B30" s="4" t="str">
        <f>IF($A30="","",_xlfn.XLOOKUP($A30,tbl_NCR_Data[NCR ID],tbl_NCR_Data[Vessel]))</f>
        <v>MV Flinterborg</v>
      </c>
      <c r="C30" s="4" t="str">
        <f>IF($A30="","",_xlfn.XLOOKUP($A30,tbl_NCR_Data[NCR ID],tbl_NCR_Data[System Category]))</f>
        <v>Electrical</v>
      </c>
      <c r="D30" s="2" t="str">
        <f>IF($A30="","",_xlfn.XLOOKUP($A30,tbl_NCR_Data[NCR ID],tbl_NCR_Data[Severity]))</f>
        <v>Major</v>
      </c>
      <c r="E30" s="4" t="str">
        <f>IF($A30="","",_xlfn.XLOOKUP($A30,tbl_NCR_Data[NCR ID],tbl_NCR_Data[Description]))</f>
        <v>Navigation light outage</v>
      </c>
      <c r="F30" s="3">
        <f>IF($A30="","",_xlfn.XLOOKUP($A30,tbl_NCR_Data[NCR ID],tbl_NCR_Data[Target Date]))</f>
        <v>45290</v>
      </c>
      <c r="G30" s="2" t="str">
        <f>IF($A30="","",_xlfn.XLOOKUP($A30,tbl_NCR_Data[NCR ID],tbl_NCR_Data[Status]))</f>
        <v>Open</v>
      </c>
    </row>
    <row r="31" spans="1:7" x14ac:dyDescent="0.25">
      <c r="A31" s="67" t="str">
        <v>NCR-2023-049</v>
      </c>
      <c r="B31" s="61" t="str">
        <f>IF($A31="","",_xlfn.XLOOKUP($A31,tbl_NCR_Data[NCR ID],tbl_NCR_Data[Vessel]))</f>
        <v>MV Frisian Summer</v>
      </c>
      <c r="C31" s="61" t="str">
        <f>IF($A31="","",_xlfn.XLOOKUP($A31,tbl_NCR_Data[NCR ID],tbl_NCR_Data[System Category]))</f>
        <v>Cargo Equipment</v>
      </c>
      <c r="D31" s="62" t="str">
        <f>IF($A31="","",_xlfn.XLOOKUP($A31,tbl_NCR_Data[NCR ID],tbl_NCR_Data[Severity]))</f>
        <v>Major</v>
      </c>
      <c r="E31" s="61" t="str">
        <f>IF($A31="","",_xlfn.XLOOKUP($A31,tbl_NCR_Data[NCR ID],tbl_NCR_Data[Description]))</f>
        <v>Crane wire certification expired</v>
      </c>
      <c r="F31" s="63">
        <f>IF($A31="","",_xlfn.XLOOKUP($A31,tbl_NCR_Data[NCR ID],tbl_NCR_Data[Target Date]))</f>
        <v>45301</v>
      </c>
      <c r="G31" s="62" t="str">
        <f>IF($A31="","",_xlfn.XLOOKUP($A31,tbl_NCR_Data[NCR ID],tbl_NCR_Data[Status]))</f>
        <v>Open</v>
      </c>
    </row>
    <row r="32" spans="1:7" x14ac:dyDescent="0.25">
      <c r="A32" s="41"/>
      <c r="B32" s="68" t="str">
        <f>IF($A32="","",_xlfn.XLOOKUP($A32,tbl_NCR_Data[NCR ID],tbl_NCR_Data[Vessel]))</f>
        <v/>
      </c>
      <c r="C32" s="68" t="str">
        <f>IF($A32="","",_xlfn.XLOOKUP($A32,tbl_NCR_Data[NCR ID],tbl_NCR_Data[System Category]))</f>
        <v/>
      </c>
      <c r="D32" s="69" t="str">
        <f>IF($A32="","",_xlfn.XLOOKUP($A32,tbl_NCR_Data[NCR ID],tbl_NCR_Data[Severity]))</f>
        <v/>
      </c>
      <c r="E32" s="68" t="str">
        <f>IF($A32="","",_xlfn.XLOOKUP($A32,tbl_NCR_Data[NCR ID],tbl_NCR_Data[Description]))</f>
        <v/>
      </c>
      <c r="F32" s="70" t="str">
        <f>IF($A32="","",_xlfn.XLOOKUP($A32,tbl_NCR_Data[NCR ID],tbl_NCR_Data[Target Date]))</f>
        <v/>
      </c>
      <c r="G32" s="69" t="str">
        <f>IF($A32="","",_xlfn.XLOOKUP($A32,tbl_NCR_Data[NCR ID],tbl_NCR_Data[Status]))</f>
        <v/>
      </c>
    </row>
    <row r="33" spans="2:7" x14ac:dyDescent="0.25">
      <c r="B33" s="64" t="str">
        <f>IF($A33="","",_xlfn.XLOOKUP($A33,tbl_NCR_Data[NCR ID],tbl_NCR_Data[Vessel]))</f>
        <v/>
      </c>
      <c r="C33" s="64" t="str">
        <f>IF($A33="","",_xlfn.XLOOKUP($A33,tbl_NCR_Data[NCR ID],tbl_NCR_Data[System Category]))</f>
        <v/>
      </c>
      <c r="D33" s="65" t="str">
        <f>IF($A33="","",_xlfn.XLOOKUP($A33,tbl_NCR_Data[NCR ID],tbl_NCR_Data[Severity]))</f>
        <v/>
      </c>
      <c r="E33" s="64" t="str">
        <f>IF($A33="","",_xlfn.XLOOKUP($A33,tbl_NCR_Data[NCR ID],tbl_NCR_Data[Description]))</f>
        <v/>
      </c>
      <c r="F33" s="66" t="str">
        <f>IF($A33="","",_xlfn.XLOOKUP($A33,tbl_NCR_Data[NCR ID],tbl_NCR_Data[Target Date]))</f>
        <v/>
      </c>
      <c r="G33" s="65" t="str">
        <f>IF($A33="","",_xlfn.XLOOKUP($A33,tbl_NCR_Data[NCR ID],tbl_NCR_Data[Status]))</f>
        <v/>
      </c>
    </row>
    <row r="34" spans="2:7" x14ac:dyDescent="0.25">
      <c r="B34" s="64" t="str">
        <f>IF($A34="","",_xlfn.XLOOKUP($A34,tbl_NCR_Data[NCR ID],tbl_NCR_Data[Vessel]))</f>
        <v/>
      </c>
      <c r="C34" s="64" t="str">
        <f>IF($A34="","",_xlfn.XLOOKUP($A34,tbl_NCR_Data[NCR ID],tbl_NCR_Data[System Category]))</f>
        <v/>
      </c>
      <c r="D34" s="65" t="str">
        <f>IF($A34="","",_xlfn.XLOOKUP($A34,tbl_NCR_Data[NCR ID],tbl_NCR_Data[Severity]))</f>
        <v/>
      </c>
      <c r="E34" s="64" t="str">
        <f>IF($A34="","",_xlfn.XLOOKUP($A34,tbl_NCR_Data[NCR ID],tbl_NCR_Data[Description]))</f>
        <v/>
      </c>
      <c r="F34" s="66" t="str">
        <f>IF($A34="","",_xlfn.XLOOKUP($A34,tbl_NCR_Data[NCR ID],tbl_NCR_Data[Target Date]))</f>
        <v/>
      </c>
      <c r="G34" s="65" t="str">
        <f>IF($A34="","",_xlfn.XLOOKUP($A34,tbl_NCR_Data[NCR ID],tbl_NCR_Data[Status]))</f>
        <v/>
      </c>
    </row>
    <row r="35" spans="2:7" x14ac:dyDescent="0.25">
      <c r="B35" s="64" t="str">
        <f>IF($A35="","",_xlfn.XLOOKUP($A35,tbl_NCR_Data[NCR ID],tbl_NCR_Data[Vessel]))</f>
        <v/>
      </c>
      <c r="C35" s="64" t="str">
        <f>IF($A35="","",_xlfn.XLOOKUP($A35,tbl_NCR_Data[NCR ID],tbl_NCR_Data[System Category]))</f>
        <v/>
      </c>
      <c r="D35" s="65" t="str">
        <f>IF($A35="","",_xlfn.XLOOKUP($A35,tbl_NCR_Data[NCR ID],tbl_NCR_Data[Severity]))</f>
        <v/>
      </c>
      <c r="E35" s="64" t="str">
        <f>IF($A35="","",_xlfn.XLOOKUP($A35,tbl_NCR_Data[NCR ID],tbl_NCR_Data[Description]))</f>
        <v/>
      </c>
      <c r="F35" s="66" t="str">
        <f>IF($A35="","",_xlfn.XLOOKUP($A35,tbl_NCR_Data[NCR ID],tbl_NCR_Data[Target Date]))</f>
        <v/>
      </c>
      <c r="G35" s="65" t="str">
        <f>IF($A35="","",_xlfn.XLOOKUP($A35,tbl_NCR_Data[NCR ID],tbl_NCR_Data[Status]))</f>
        <v/>
      </c>
    </row>
    <row r="36" spans="2:7" x14ac:dyDescent="0.25">
      <c r="B36" s="64" t="str">
        <f>IF($A36="","",_xlfn.XLOOKUP($A36,tbl_NCR_Data[NCR ID],tbl_NCR_Data[Vessel]))</f>
        <v/>
      </c>
      <c r="C36" s="64" t="str">
        <f>IF($A36="","",_xlfn.XLOOKUP($A36,tbl_NCR_Data[NCR ID],tbl_NCR_Data[System Category]))</f>
        <v/>
      </c>
      <c r="D36" s="65" t="str">
        <f>IF($A36="","",_xlfn.XLOOKUP($A36,tbl_NCR_Data[NCR ID],tbl_NCR_Data[Severity]))</f>
        <v/>
      </c>
      <c r="E36" s="64" t="str">
        <f>IF($A36="","",_xlfn.XLOOKUP($A36,tbl_NCR_Data[NCR ID],tbl_NCR_Data[Description]))</f>
        <v/>
      </c>
      <c r="F36" s="66" t="str">
        <f>IF($A36="","",_xlfn.XLOOKUP($A36,tbl_NCR_Data[NCR ID],tbl_NCR_Data[Target Date]))</f>
        <v/>
      </c>
      <c r="G36" s="65" t="str">
        <f>IF($A36="","",_xlfn.XLOOKUP($A36,tbl_NCR_Data[NCR ID],tbl_NCR_Data[Status]))</f>
        <v/>
      </c>
    </row>
    <row r="37" spans="2:7" x14ac:dyDescent="0.25">
      <c r="B37" s="64" t="str">
        <f>IF($A37="","",_xlfn.XLOOKUP($A37,tbl_NCR_Data[NCR ID],tbl_NCR_Data[Vessel]))</f>
        <v/>
      </c>
      <c r="C37" s="64" t="str">
        <f>IF($A37="","",_xlfn.XLOOKUP($A37,tbl_NCR_Data[NCR ID],tbl_NCR_Data[System Category]))</f>
        <v/>
      </c>
      <c r="D37" s="65" t="str">
        <f>IF($A37="","",_xlfn.XLOOKUP($A37,tbl_NCR_Data[NCR ID],tbl_NCR_Data[Severity]))</f>
        <v/>
      </c>
      <c r="E37" s="64" t="str">
        <f>IF($A37="","",_xlfn.XLOOKUP($A37,tbl_NCR_Data[NCR ID],tbl_NCR_Data[Description]))</f>
        <v/>
      </c>
      <c r="F37" s="66" t="str">
        <f>IF($A37="","",_xlfn.XLOOKUP($A37,tbl_NCR_Data[NCR ID],tbl_NCR_Data[Target Date]))</f>
        <v/>
      </c>
      <c r="G37" s="65" t="str">
        <f>IF($A37="","",_xlfn.XLOOKUP($A37,tbl_NCR_Data[NCR ID],tbl_NCR_Data[Status]))</f>
        <v/>
      </c>
    </row>
    <row r="38" spans="2:7" x14ac:dyDescent="0.25">
      <c r="B38" s="64" t="str">
        <f>IF($A38="","",_xlfn.XLOOKUP($A38,tbl_NCR_Data[NCR ID],tbl_NCR_Data[Vessel]))</f>
        <v/>
      </c>
      <c r="C38" s="64" t="str">
        <f>IF($A38="","",_xlfn.XLOOKUP($A38,tbl_NCR_Data[NCR ID],tbl_NCR_Data[System Category]))</f>
        <v/>
      </c>
      <c r="D38" s="65" t="str">
        <f>IF($A38="","",_xlfn.XLOOKUP($A38,tbl_NCR_Data[NCR ID],tbl_NCR_Data[Severity]))</f>
        <v/>
      </c>
      <c r="E38" s="64" t="str">
        <f>IF($A38="","",_xlfn.XLOOKUP($A38,tbl_NCR_Data[NCR ID],tbl_NCR_Data[Description]))</f>
        <v/>
      </c>
      <c r="F38" s="66" t="str">
        <f>IF($A38="","",_xlfn.XLOOKUP($A38,tbl_NCR_Data[NCR ID],tbl_NCR_Data[Target Date]))</f>
        <v/>
      </c>
      <c r="G38" s="65" t="str">
        <f>IF($A38="","",_xlfn.XLOOKUP($A38,tbl_NCR_Data[NCR ID],tbl_NCR_Data[Status]))</f>
        <v/>
      </c>
    </row>
    <row r="39" spans="2:7" x14ac:dyDescent="0.25">
      <c r="B39" s="64" t="str">
        <f>IF($A39="","",_xlfn.XLOOKUP($A39,tbl_NCR_Data[NCR ID],tbl_NCR_Data[Vessel]))</f>
        <v/>
      </c>
      <c r="C39" s="64" t="str">
        <f>IF($A39="","",_xlfn.XLOOKUP($A39,tbl_NCR_Data[NCR ID],tbl_NCR_Data[System Category]))</f>
        <v/>
      </c>
      <c r="D39" s="65" t="str">
        <f>IF($A39="","",_xlfn.XLOOKUP($A39,tbl_NCR_Data[NCR ID],tbl_NCR_Data[Severity]))</f>
        <v/>
      </c>
      <c r="E39" s="64" t="str">
        <f>IF($A39="","",_xlfn.XLOOKUP($A39,tbl_NCR_Data[NCR ID],tbl_NCR_Data[Description]))</f>
        <v/>
      </c>
      <c r="F39" s="66" t="str">
        <f>IF($A39="","",_xlfn.XLOOKUP($A39,tbl_NCR_Data[NCR ID],tbl_NCR_Data[Target Date]))</f>
        <v/>
      </c>
      <c r="G39" s="65" t="str">
        <f>IF($A39="","",_xlfn.XLOOKUP($A39,tbl_NCR_Data[NCR ID],tbl_NCR_Data[Status]))</f>
        <v/>
      </c>
    </row>
    <row r="40" spans="2:7" x14ac:dyDescent="0.25">
      <c r="B40" s="64" t="str">
        <f>IF($A40="","",_xlfn.XLOOKUP($A40,tbl_NCR_Data[NCR ID],tbl_NCR_Data[Vessel]))</f>
        <v/>
      </c>
      <c r="C40" s="64" t="str">
        <f>IF($A40="","",_xlfn.XLOOKUP($A40,tbl_NCR_Data[NCR ID],tbl_NCR_Data[System Category]))</f>
        <v/>
      </c>
      <c r="D40" s="65" t="str">
        <f>IF($A40="","",_xlfn.XLOOKUP($A40,tbl_NCR_Data[NCR ID],tbl_NCR_Data[Severity]))</f>
        <v/>
      </c>
      <c r="E40" s="64" t="str">
        <f>IF($A40="","",_xlfn.XLOOKUP($A40,tbl_NCR_Data[NCR ID],tbl_NCR_Data[Description]))</f>
        <v/>
      </c>
      <c r="F40" s="66" t="str">
        <f>IF($A40="","",_xlfn.XLOOKUP($A40,tbl_NCR_Data[NCR ID],tbl_NCR_Data[Target Date]))</f>
        <v/>
      </c>
      <c r="G40" s="65" t="str">
        <f>IF($A40="","",_xlfn.XLOOKUP($A40,tbl_NCR_Data[NCR ID],tbl_NCR_Data[Status]))</f>
        <v/>
      </c>
    </row>
    <row r="41" spans="2:7" x14ac:dyDescent="0.25">
      <c r="B41" s="64" t="str">
        <f>IF($A41="","",_xlfn.XLOOKUP($A41,tbl_NCR_Data[NCR ID],tbl_NCR_Data[Vessel]))</f>
        <v/>
      </c>
      <c r="C41" s="64" t="str">
        <f>IF($A41="","",_xlfn.XLOOKUP($A41,tbl_NCR_Data[NCR ID],tbl_NCR_Data[System Category]))</f>
        <v/>
      </c>
      <c r="D41" s="65" t="str">
        <f>IF($A41="","",_xlfn.XLOOKUP($A41,tbl_NCR_Data[NCR ID],tbl_NCR_Data[Severity]))</f>
        <v/>
      </c>
      <c r="E41" s="64" t="str">
        <f>IF($A41="","",_xlfn.XLOOKUP($A41,tbl_NCR_Data[NCR ID],tbl_NCR_Data[Description]))</f>
        <v/>
      </c>
      <c r="F41" s="66" t="str">
        <f>IF($A41="","",_xlfn.XLOOKUP($A41,tbl_NCR_Data[NCR ID],tbl_NCR_Data[Target Date]))</f>
        <v/>
      </c>
      <c r="G41" s="65" t="str">
        <f>IF($A41="","",_xlfn.XLOOKUP($A41,tbl_NCR_Data[NCR ID],tbl_NCR_Data[Status]))</f>
        <v/>
      </c>
    </row>
    <row r="42" spans="2:7" x14ac:dyDescent="0.25">
      <c r="B42" s="64" t="str">
        <f>IF($A42="","",_xlfn.XLOOKUP($A42,tbl_NCR_Data[NCR ID],tbl_NCR_Data[Vessel]))</f>
        <v/>
      </c>
      <c r="C42" s="64" t="str">
        <f>IF($A42="","",_xlfn.XLOOKUP($A42,tbl_NCR_Data[NCR ID],tbl_NCR_Data[System Category]))</f>
        <v/>
      </c>
      <c r="D42" s="65" t="str">
        <f>IF($A42="","",_xlfn.XLOOKUP($A42,tbl_NCR_Data[NCR ID],tbl_NCR_Data[Severity]))</f>
        <v/>
      </c>
      <c r="E42" s="64" t="str">
        <f>IF($A42="","",_xlfn.XLOOKUP($A42,tbl_NCR_Data[NCR ID],tbl_NCR_Data[Description]))</f>
        <v/>
      </c>
      <c r="F42" s="66" t="str">
        <f>IF($A42="","",_xlfn.XLOOKUP($A42,tbl_NCR_Data[NCR ID],tbl_NCR_Data[Target Date]))</f>
        <v/>
      </c>
      <c r="G42" s="65" t="str">
        <f>IF($A42="","",_xlfn.XLOOKUP($A42,tbl_NCR_Data[NCR ID],tbl_NCR_Data[Status]))</f>
        <v/>
      </c>
    </row>
    <row r="43" spans="2:7" x14ac:dyDescent="0.25">
      <c r="B43" s="64" t="str">
        <f>IF($A43="","",_xlfn.XLOOKUP($A43,tbl_NCR_Data[NCR ID],tbl_NCR_Data[Vessel]))</f>
        <v/>
      </c>
      <c r="C43" s="64" t="str">
        <f>IF($A43="","",_xlfn.XLOOKUP($A43,tbl_NCR_Data[NCR ID],tbl_NCR_Data[System Category]))</f>
        <v/>
      </c>
      <c r="D43" s="65" t="str">
        <f>IF($A43="","",_xlfn.XLOOKUP($A43,tbl_NCR_Data[NCR ID],tbl_NCR_Data[Severity]))</f>
        <v/>
      </c>
      <c r="E43" s="64" t="str">
        <f>IF($A43="","",_xlfn.XLOOKUP($A43,tbl_NCR_Data[NCR ID],tbl_NCR_Data[Description]))</f>
        <v/>
      </c>
      <c r="F43" s="66" t="str">
        <f>IF($A43="","",_xlfn.XLOOKUP($A43,tbl_NCR_Data[NCR ID],tbl_NCR_Data[Target Date]))</f>
        <v/>
      </c>
      <c r="G43" s="65" t="str">
        <f>IF($A43="","",_xlfn.XLOOKUP($A43,tbl_NCR_Data[NCR ID],tbl_NCR_Data[Status]))</f>
        <v/>
      </c>
    </row>
  </sheetData>
  <mergeCells count="2">
    <mergeCell ref="A1:G1"/>
    <mergeCell ref="A2:G2"/>
  </mergeCells>
  <conditionalFormatting sqref="D4:D43">
    <cfRule type="cellIs" dxfId="6" priority="4" operator="equal">
      <formula>"Critical"</formula>
    </cfRule>
    <cfRule type="cellIs" dxfId="5" priority="5" operator="equal">
      <formula>"Major"</formula>
    </cfRule>
    <cfRule type="cellIs" dxfId="4" priority="6" operator="equal">
      <formula>"Minor"</formula>
    </cfRule>
  </conditionalFormatting>
  <conditionalFormatting sqref="G4:G43">
    <cfRule type="cellIs" dxfId="3" priority="7" operator="equal">
      <formula>"Overdue"</formula>
    </cfRule>
    <cfRule type="cellIs" dxfId="2" priority="8" operator="equal">
      <formula>"Open"</formula>
    </cfRule>
    <cfRule type="cellIs" dxfId="1" priority="9" operator="equal">
      <formula>"In Progress"</formula>
    </cfRule>
    <cfRule type="cellIs" dxfId="0" priority="10" operator="equal">
      <formula>"Closed"</formula>
    </cfRule>
  </conditionalFormatting>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2834-E09B-466A-8A12-47F48306BCE7}">
  <dimension ref="A1:N28"/>
  <sheetViews>
    <sheetView workbookViewId="0">
      <selection activeCell="N25" sqref="N25"/>
    </sheetView>
  </sheetViews>
  <sheetFormatPr defaultRowHeight="15" x14ac:dyDescent="0.25"/>
  <cols>
    <col min="1" max="1" width="16.7109375" bestFit="1" customWidth="1"/>
    <col min="2" max="2" width="16.28515625" bestFit="1" customWidth="1"/>
    <col min="3" max="3" width="6.28515625" bestFit="1" customWidth="1"/>
    <col min="4" max="4" width="6.42578125" bestFit="1" customWidth="1"/>
    <col min="5" max="5" width="11.28515625" bestFit="1" customWidth="1"/>
    <col min="8" max="8" width="18.42578125" bestFit="1" customWidth="1"/>
    <col min="9" max="9" width="16.28515625" bestFit="1" customWidth="1"/>
    <col min="10" max="10" width="10.7109375" bestFit="1" customWidth="1"/>
    <col min="11" max="11" width="5.85546875" bestFit="1" customWidth="1"/>
    <col min="12" max="12" width="8.7109375" bestFit="1" customWidth="1"/>
    <col min="13" max="13" width="11.28515625" bestFit="1" customWidth="1"/>
  </cols>
  <sheetData>
    <row r="1" spans="1:14" ht="18.75" x14ac:dyDescent="0.3">
      <c r="A1" s="26" t="s">
        <v>166</v>
      </c>
      <c r="B1" s="27"/>
      <c r="C1" s="27"/>
      <c r="D1" s="27"/>
      <c r="E1" s="27"/>
      <c r="F1" s="27"/>
      <c r="G1" s="27"/>
      <c r="H1" s="27"/>
      <c r="I1" s="27"/>
      <c r="J1" s="27"/>
      <c r="K1" s="27"/>
      <c r="L1" s="27"/>
      <c r="M1" s="27"/>
      <c r="N1" s="27"/>
    </row>
    <row r="2" spans="1:14" x14ac:dyDescent="0.25">
      <c r="A2" s="28" t="s">
        <v>167</v>
      </c>
    </row>
    <row r="4" spans="1:14" x14ac:dyDescent="0.25">
      <c r="A4" s="29" t="s">
        <v>168</v>
      </c>
      <c r="H4" s="29" t="s">
        <v>169</v>
      </c>
    </row>
    <row r="5" spans="1:14" x14ac:dyDescent="0.25">
      <c r="A5" s="30" t="s">
        <v>173</v>
      </c>
      <c r="B5" s="30" t="s">
        <v>172</v>
      </c>
      <c r="H5" s="30" t="s">
        <v>173</v>
      </c>
      <c r="I5" s="30" t="s">
        <v>172</v>
      </c>
    </row>
    <row r="6" spans="1:14" x14ac:dyDescent="0.25">
      <c r="A6" s="30" t="s">
        <v>170</v>
      </c>
      <c r="B6" s="71" t="s">
        <v>56</v>
      </c>
      <c r="C6" s="71" t="s">
        <v>22</v>
      </c>
      <c r="D6" s="71" t="s">
        <v>15</v>
      </c>
      <c r="E6" s="71" t="s">
        <v>171</v>
      </c>
      <c r="H6" s="30" t="s">
        <v>170</v>
      </c>
      <c r="I6" s="71" t="s">
        <v>25</v>
      </c>
      <c r="J6" s="71" t="s">
        <v>31</v>
      </c>
      <c r="K6" s="71" t="s">
        <v>19</v>
      </c>
      <c r="L6" s="71" t="s">
        <v>38</v>
      </c>
      <c r="M6" s="71" t="s">
        <v>171</v>
      </c>
    </row>
    <row r="7" spans="1:14" x14ac:dyDescent="0.25">
      <c r="A7" s="31" t="s">
        <v>21</v>
      </c>
      <c r="B7">
        <v>1</v>
      </c>
      <c r="C7">
        <v>1</v>
      </c>
      <c r="E7">
        <v>2</v>
      </c>
      <c r="H7" s="31" t="s">
        <v>62</v>
      </c>
      <c r="I7">
        <v>9</v>
      </c>
      <c r="J7">
        <v>2</v>
      </c>
      <c r="L7">
        <v>1</v>
      </c>
      <c r="M7">
        <v>12</v>
      </c>
    </row>
    <row r="8" spans="1:14" x14ac:dyDescent="0.25">
      <c r="A8" s="31" t="s">
        <v>58</v>
      </c>
      <c r="C8">
        <v>1</v>
      </c>
      <c r="D8">
        <v>2</v>
      </c>
      <c r="E8">
        <v>3</v>
      </c>
      <c r="H8" s="31" t="s">
        <v>52</v>
      </c>
      <c r="I8">
        <v>7</v>
      </c>
      <c r="J8">
        <v>3</v>
      </c>
      <c r="K8">
        <v>4</v>
      </c>
      <c r="L8">
        <v>1</v>
      </c>
      <c r="M8">
        <v>15</v>
      </c>
    </row>
    <row r="9" spans="1:14" x14ac:dyDescent="0.25">
      <c r="A9" s="31" t="s">
        <v>14</v>
      </c>
      <c r="B9">
        <v>1</v>
      </c>
      <c r="D9">
        <v>3</v>
      </c>
      <c r="E9">
        <v>4</v>
      </c>
      <c r="H9" s="31" t="s">
        <v>35</v>
      </c>
      <c r="I9">
        <v>8</v>
      </c>
      <c r="J9">
        <v>1</v>
      </c>
      <c r="K9">
        <v>2</v>
      </c>
      <c r="L9">
        <v>2</v>
      </c>
      <c r="M9">
        <v>13</v>
      </c>
    </row>
    <row r="10" spans="1:14" x14ac:dyDescent="0.25">
      <c r="A10" s="31" t="s">
        <v>28</v>
      </c>
      <c r="C10">
        <v>1</v>
      </c>
      <c r="D10">
        <v>1</v>
      </c>
      <c r="E10">
        <v>2</v>
      </c>
      <c r="H10" s="31" t="s">
        <v>13</v>
      </c>
      <c r="I10">
        <v>6</v>
      </c>
      <c r="J10">
        <v>1</v>
      </c>
      <c r="K10">
        <v>5</v>
      </c>
      <c r="M10">
        <v>12</v>
      </c>
    </row>
    <row r="11" spans="1:14" x14ac:dyDescent="0.25">
      <c r="A11" s="31" t="s">
        <v>47</v>
      </c>
      <c r="B11">
        <v>1</v>
      </c>
      <c r="C11">
        <v>1</v>
      </c>
      <c r="E11">
        <v>2</v>
      </c>
      <c r="H11" s="31" t="s">
        <v>27</v>
      </c>
      <c r="I11">
        <v>8</v>
      </c>
      <c r="J11">
        <v>1</v>
      </c>
      <c r="K11">
        <v>3</v>
      </c>
      <c r="L11">
        <v>1</v>
      </c>
      <c r="M11">
        <v>13</v>
      </c>
    </row>
    <row r="12" spans="1:14" x14ac:dyDescent="0.25">
      <c r="A12" s="31" t="s">
        <v>36</v>
      </c>
      <c r="C12">
        <v>1</v>
      </c>
      <c r="D12">
        <v>2</v>
      </c>
      <c r="E12">
        <v>3</v>
      </c>
      <c r="H12" s="31" t="s">
        <v>171</v>
      </c>
      <c r="I12">
        <v>38</v>
      </c>
      <c r="J12">
        <v>8</v>
      </c>
      <c r="K12">
        <v>14</v>
      </c>
      <c r="L12">
        <v>5</v>
      </c>
      <c r="M12">
        <v>65</v>
      </c>
    </row>
    <row r="13" spans="1:14" x14ac:dyDescent="0.25">
      <c r="A13" s="31" t="s">
        <v>171</v>
      </c>
      <c r="B13">
        <v>3</v>
      </c>
      <c r="C13">
        <v>5</v>
      </c>
      <c r="D13">
        <v>8</v>
      </c>
      <c r="E13">
        <v>16</v>
      </c>
    </row>
    <row r="20" spans="1:3" x14ac:dyDescent="0.25">
      <c r="A20" s="29" t="s">
        <v>174</v>
      </c>
    </row>
    <row r="21" spans="1:3" x14ac:dyDescent="0.25">
      <c r="A21" s="30" t="s">
        <v>170</v>
      </c>
      <c r="B21" t="s">
        <v>173</v>
      </c>
      <c r="C21" t="s">
        <v>175</v>
      </c>
    </row>
    <row r="22" spans="1:3" x14ac:dyDescent="0.25">
      <c r="A22" s="31" t="s">
        <v>49</v>
      </c>
      <c r="B22">
        <v>9</v>
      </c>
      <c r="C22">
        <v>21.2</v>
      </c>
    </row>
    <row r="23" spans="1:3" x14ac:dyDescent="0.25">
      <c r="A23" s="31" t="s">
        <v>17</v>
      </c>
      <c r="B23">
        <v>13</v>
      </c>
      <c r="C23">
        <v>25.142857142857142</v>
      </c>
    </row>
    <row r="24" spans="1:3" x14ac:dyDescent="0.25">
      <c r="A24" s="31" t="s">
        <v>41</v>
      </c>
      <c r="B24">
        <v>11</v>
      </c>
      <c r="C24">
        <v>25</v>
      </c>
    </row>
    <row r="25" spans="1:3" x14ac:dyDescent="0.25">
      <c r="A25" s="31" t="s">
        <v>24</v>
      </c>
      <c r="B25">
        <v>11</v>
      </c>
      <c r="C25">
        <v>12.714285714285714</v>
      </c>
    </row>
    <row r="26" spans="1:3" x14ac:dyDescent="0.25">
      <c r="A26" s="31" t="s">
        <v>44</v>
      </c>
      <c r="B26">
        <v>13</v>
      </c>
      <c r="C26">
        <v>24.714285714285715</v>
      </c>
    </row>
    <row r="27" spans="1:3" x14ac:dyDescent="0.25">
      <c r="A27" s="31" t="s">
        <v>71</v>
      </c>
      <c r="B27">
        <v>8</v>
      </c>
      <c r="C27">
        <v>32.166666666666664</v>
      </c>
    </row>
    <row r="28" spans="1:3" x14ac:dyDescent="0.25">
      <c r="A28" s="31" t="s">
        <v>171</v>
      </c>
      <c r="B28">
        <v>65</v>
      </c>
      <c r="C28">
        <v>23.342105263157894</v>
      </c>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NCR_Data</vt:lpstr>
      <vt:lpstr>KPI_Summary</vt:lpstr>
      <vt:lpstr>Trend_Analysis</vt:lpstr>
      <vt:lpstr>CAPA_Tracker</vt:lpstr>
      <vt:lpstr>Pivot_Analysis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Denys Kibalenko</cp:lastModifiedBy>
  <cp:revision>1</cp:revision>
  <dcterms:created xsi:type="dcterms:W3CDTF">2026-08-10T09:44:31Z</dcterms:created>
  <dcterms:modified xsi:type="dcterms:W3CDTF">2026-08-12T07:50:01Z</dcterms:modified>
  <dc:language>en-US</dc:language>
</cp:coreProperties>
</file>